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myProject\pythonProject\SupportCardProject\src\mnt\"/>
    </mc:Choice>
  </mc:AlternateContent>
  <xr:revisionPtr revIDLastSave="0" documentId="13_ncr:1_{0F2FC35B-0B58-44D6-BF72-480779B6464E}" xr6:coauthVersionLast="47" xr6:coauthVersionMax="47" xr10:uidLastSave="{00000000-0000-0000-0000-000000000000}"/>
  <bookViews>
    <workbookView xWindow="1710" yWindow="1280" windowWidth="32290" windowHeight="15370" xr2:uid="{00000000-000D-0000-FFFF-FFFF00000000}"/>
  </bookViews>
  <sheets>
    <sheet name="持有情况" sheetId="2" r:id="rId1"/>
    <sheet name="路线" sheetId="3" r:id="rId2"/>
    <sheet name="词条" sheetId="4" r:id="rId3"/>
    <sheet name="第一属性比较" sheetId="5" r:id="rId4"/>
    <sheet name="第二属性比较" sheetId="6" r:id="rId5"/>
    <sheet name="第三属性比较" sheetId="7" r:id="rId6"/>
    <sheet name="卡组计算" sheetId="8" r:id="rId7"/>
    <sheet name="借卡计算" sheetId="9" r:id="rId8"/>
    <sheet name="更新日志"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63" i="2" l="1"/>
  <c r="AC100" i="2"/>
  <c r="AW106" i="2"/>
  <c r="AW108" i="2"/>
  <c r="AW107" i="2"/>
  <c r="H28" i="2"/>
  <c r="F28" i="2"/>
  <c r="AU110" i="7"/>
  <c r="AT110" i="7"/>
  <c r="AS110" i="7"/>
  <c r="AR110" i="7"/>
  <c r="AQ110" i="7"/>
  <c r="AP110" i="7"/>
  <c r="AN110" i="7"/>
  <c r="AM110" i="7"/>
  <c r="AL110" i="7"/>
  <c r="AK110" i="7"/>
  <c r="AJ110" i="7"/>
  <c r="AI110" i="7"/>
  <c r="AH110" i="7"/>
  <c r="AG110" i="7"/>
  <c r="AF110" i="7"/>
  <c r="AE110" i="7"/>
  <c r="AD110" i="7"/>
  <c r="AC110" i="7"/>
  <c r="AB110" i="7"/>
  <c r="AA110" i="7"/>
  <c r="Y110" i="7"/>
  <c r="X110" i="7"/>
  <c r="W110" i="7"/>
  <c r="V110" i="7"/>
  <c r="U110" i="7"/>
  <c r="T110" i="7"/>
  <c r="R110" i="7"/>
  <c r="Q110" i="7"/>
  <c r="P110" i="7"/>
  <c r="O110" i="7"/>
  <c r="N110" i="7"/>
  <c r="M110" i="7"/>
  <c r="L110" i="7"/>
  <c r="J110" i="7"/>
  <c r="AO110" i="7" s="1"/>
  <c r="AU109" i="7"/>
  <c r="AT109" i="7"/>
  <c r="AS109" i="7"/>
  <c r="AR109" i="7"/>
  <c r="AQ109" i="7"/>
  <c r="AP109" i="7"/>
  <c r="AO109" i="7"/>
  <c r="AN109" i="7"/>
  <c r="AM109" i="7"/>
  <c r="AK109" i="7"/>
  <c r="AJ109" i="7"/>
  <c r="AI109" i="7"/>
  <c r="AH109" i="7"/>
  <c r="AG109" i="7"/>
  <c r="AF109" i="7"/>
  <c r="AE109" i="7"/>
  <c r="AD109" i="7"/>
  <c r="AC109" i="7"/>
  <c r="AB109" i="7"/>
  <c r="AA109" i="7"/>
  <c r="Z109" i="7"/>
  <c r="Y109" i="7"/>
  <c r="X109" i="7"/>
  <c r="W109" i="7"/>
  <c r="V109" i="7"/>
  <c r="U109" i="7"/>
  <c r="T109" i="7"/>
  <c r="R109" i="7"/>
  <c r="Q109" i="7"/>
  <c r="P109" i="7"/>
  <c r="O109" i="7"/>
  <c r="N109" i="7"/>
  <c r="M109" i="7"/>
  <c r="L109" i="7"/>
  <c r="AU108" i="7"/>
  <c r="AT108" i="7"/>
  <c r="AS108" i="7"/>
  <c r="AR108" i="7"/>
  <c r="AQ108" i="7"/>
  <c r="AP108" i="7"/>
  <c r="AN108" i="7"/>
  <c r="AM108" i="7"/>
  <c r="AL108" i="7"/>
  <c r="AK108" i="7"/>
  <c r="AJ108" i="7"/>
  <c r="AI108" i="7"/>
  <c r="AH108" i="7"/>
  <c r="AG108" i="7"/>
  <c r="AF108" i="7"/>
  <c r="AE108" i="7"/>
  <c r="AD108" i="7"/>
  <c r="AC108" i="7"/>
  <c r="AB108" i="7"/>
  <c r="AA108" i="7"/>
  <c r="Y108" i="7"/>
  <c r="X108" i="7"/>
  <c r="W108" i="7"/>
  <c r="V108" i="7"/>
  <c r="U108" i="7"/>
  <c r="T108" i="7"/>
  <c r="R108" i="7"/>
  <c r="Q108" i="7"/>
  <c r="P108" i="7"/>
  <c r="O108" i="7"/>
  <c r="N108" i="7"/>
  <c r="M108" i="7"/>
  <c r="L108" i="7"/>
  <c r="J108" i="7"/>
  <c r="AO108" i="7" s="1"/>
  <c r="AU107" i="7"/>
  <c r="AT107" i="7"/>
  <c r="AS107" i="7"/>
  <c r="AR107" i="7"/>
  <c r="AQ107" i="7"/>
  <c r="AP107" i="7"/>
  <c r="AO107" i="7"/>
  <c r="AN107" i="7"/>
  <c r="AM107" i="7"/>
  <c r="AL107" i="7"/>
  <c r="AK107" i="7"/>
  <c r="AJ107" i="7"/>
  <c r="AI107" i="7"/>
  <c r="AH107" i="7"/>
  <c r="AG107" i="7"/>
  <c r="AF107" i="7"/>
  <c r="AE107" i="7"/>
  <c r="AD107" i="7"/>
  <c r="AC107" i="7"/>
  <c r="AB107" i="7"/>
  <c r="AA107" i="7"/>
  <c r="Z107" i="7"/>
  <c r="Y107" i="7"/>
  <c r="X107" i="7"/>
  <c r="W107" i="7"/>
  <c r="U107" i="7"/>
  <c r="T107" i="7"/>
  <c r="S107" i="7"/>
  <c r="R107" i="7"/>
  <c r="Q107" i="7"/>
  <c r="P107" i="7"/>
  <c r="N107" i="7"/>
  <c r="M107" i="7"/>
  <c r="L107" i="7"/>
  <c r="J107" i="7"/>
  <c r="AR106" i="7"/>
  <c r="AQ106" i="7"/>
  <c r="AP106" i="7"/>
  <c r="AL106" i="7"/>
  <c r="AK106" i="7"/>
  <c r="AJ106" i="7"/>
  <c r="AF106" i="7"/>
  <c r="AE106" i="7"/>
  <c r="AD106" i="7"/>
  <c r="T106" i="7"/>
  <c r="S106" i="7"/>
  <c r="R106" i="7"/>
  <c r="Q106" i="7"/>
  <c r="P106" i="7"/>
  <c r="O106" i="7"/>
  <c r="M106" i="7"/>
  <c r="L106" i="7"/>
  <c r="J106" i="7"/>
  <c r="AU105" i="7"/>
  <c r="AS105" i="7"/>
  <c r="AR105" i="7"/>
  <c r="AQ105" i="7"/>
  <c r="AP105" i="7"/>
  <c r="AO105" i="7"/>
  <c r="AN105" i="7"/>
  <c r="AM105" i="7"/>
  <c r="AL105" i="7"/>
  <c r="AK105" i="7"/>
  <c r="AJ105" i="7"/>
  <c r="AI105" i="7"/>
  <c r="AH105" i="7"/>
  <c r="AG105" i="7"/>
  <c r="AF105" i="7"/>
  <c r="AE105" i="7"/>
  <c r="AD105" i="7"/>
  <c r="AC105" i="7"/>
  <c r="AA105" i="7"/>
  <c r="Z105" i="7"/>
  <c r="Y105" i="7"/>
  <c r="X105" i="7"/>
  <c r="W105" i="7"/>
  <c r="V105" i="7"/>
  <c r="U105" i="7"/>
  <c r="T105" i="7"/>
  <c r="S105" i="7"/>
  <c r="R105" i="7"/>
  <c r="P105" i="7"/>
  <c r="O105" i="7"/>
  <c r="N105" i="7"/>
  <c r="M105" i="7"/>
  <c r="L105" i="7"/>
  <c r="AU104" i="7"/>
  <c r="AT104" i="7"/>
  <c r="AS104" i="7"/>
  <c r="AR104" i="7"/>
  <c r="AQ104" i="7"/>
  <c r="AP104" i="7"/>
  <c r="AO104" i="7"/>
  <c r="AN104" i="7"/>
  <c r="AM104" i="7"/>
  <c r="AL104" i="7"/>
  <c r="AK104" i="7"/>
  <c r="AJ104" i="7"/>
  <c r="AI104" i="7"/>
  <c r="AH104" i="7"/>
  <c r="AG104" i="7"/>
  <c r="AF104" i="7"/>
  <c r="AE104" i="7"/>
  <c r="AD104" i="7"/>
  <c r="AC104" i="7"/>
  <c r="AA104" i="7"/>
  <c r="Z104" i="7"/>
  <c r="Y104" i="7"/>
  <c r="X104" i="7"/>
  <c r="W104" i="7"/>
  <c r="V104" i="7"/>
  <c r="U104" i="7"/>
  <c r="T104" i="7"/>
  <c r="S104" i="7"/>
  <c r="R104" i="7"/>
  <c r="P104" i="7"/>
  <c r="O104" i="7"/>
  <c r="N104" i="7"/>
  <c r="M104" i="7"/>
  <c r="L104" i="7"/>
  <c r="J104" i="7"/>
  <c r="AQ103" i="7"/>
  <c r="AP103" i="7"/>
  <c r="AK103" i="7"/>
  <c r="AJ103" i="7"/>
  <c r="AE103" i="7"/>
  <c r="AD103" i="7"/>
  <c r="Q103" i="7"/>
  <c r="P103" i="7"/>
  <c r="O103" i="7"/>
  <c r="N103" i="7"/>
  <c r="M103" i="7"/>
  <c r="L103" i="7"/>
  <c r="AQ102" i="7"/>
  <c r="AP102" i="7"/>
  <c r="AL102" i="7"/>
  <c r="AK102" i="7"/>
  <c r="AJ102" i="7"/>
  <c r="AF102" i="7"/>
  <c r="AE102" i="7"/>
  <c r="AD102" i="7"/>
  <c r="S102" i="7"/>
  <c r="R102" i="7"/>
  <c r="Q102" i="7"/>
  <c r="P102" i="7"/>
  <c r="O102" i="7"/>
  <c r="N102" i="7"/>
  <c r="M102" i="7"/>
  <c r="L102" i="7"/>
  <c r="J102" i="7"/>
  <c r="AR102" i="7" s="1"/>
  <c r="AR101" i="7"/>
  <c r="AQ101" i="7"/>
  <c r="AP101" i="7"/>
  <c r="AL101" i="7"/>
  <c r="AK101" i="7"/>
  <c r="AJ101" i="7"/>
  <c r="AF101" i="7"/>
  <c r="AE101" i="7"/>
  <c r="AD101" i="7"/>
  <c r="S101" i="7"/>
  <c r="R101" i="7"/>
  <c r="Q101" i="7"/>
  <c r="P101" i="7"/>
  <c r="O101" i="7"/>
  <c r="N101" i="7"/>
  <c r="M101" i="7"/>
  <c r="L101" i="7"/>
  <c r="J101" i="7"/>
  <c r="AR100" i="7"/>
  <c r="AP100" i="7"/>
  <c r="AL100" i="7"/>
  <c r="AJ100" i="7"/>
  <c r="AF100" i="7"/>
  <c r="AD100" i="7"/>
  <c r="T100" i="7"/>
  <c r="S100" i="7"/>
  <c r="R100" i="7"/>
  <c r="N100" i="7"/>
  <c r="M100" i="7"/>
  <c r="L100" i="7"/>
  <c r="AR99" i="7"/>
  <c r="AQ99" i="7"/>
  <c r="AL99" i="7"/>
  <c r="AK99" i="7"/>
  <c r="AF99" i="7"/>
  <c r="AE99" i="7"/>
  <c r="T99" i="7"/>
  <c r="S99" i="7"/>
  <c r="R99" i="7"/>
  <c r="Q99" i="7"/>
  <c r="P99" i="7"/>
  <c r="O99" i="7"/>
  <c r="AR98" i="7"/>
  <c r="AQ98" i="7"/>
  <c r="AP98" i="7"/>
  <c r="AL98" i="7"/>
  <c r="AK98" i="7"/>
  <c r="AJ98" i="7"/>
  <c r="AF98" i="7"/>
  <c r="AD98" i="7"/>
  <c r="T98" i="7"/>
  <c r="S98" i="7"/>
  <c r="R98" i="7"/>
  <c r="Q98" i="7"/>
  <c r="P98" i="7"/>
  <c r="N98" i="7"/>
  <c r="M98" i="7"/>
  <c r="L98" i="7"/>
  <c r="AR97" i="7"/>
  <c r="AQ97" i="7"/>
  <c r="AP97" i="7"/>
  <c r="AL97" i="7"/>
  <c r="AK97" i="7"/>
  <c r="AJ97" i="7"/>
  <c r="AF97" i="7"/>
  <c r="AE97" i="7"/>
  <c r="T97" i="7"/>
  <c r="S97" i="7"/>
  <c r="R97" i="7"/>
  <c r="Q97" i="7"/>
  <c r="P97" i="7"/>
  <c r="O97" i="7"/>
  <c r="N97" i="7"/>
  <c r="M97" i="7"/>
  <c r="AQ96" i="7"/>
  <c r="AP96" i="7"/>
  <c r="AK96" i="7"/>
  <c r="AJ96" i="7"/>
  <c r="AE96" i="7"/>
  <c r="AD96" i="7"/>
  <c r="Q96" i="7"/>
  <c r="P96" i="7"/>
  <c r="O96" i="7"/>
  <c r="N96" i="7"/>
  <c r="M96" i="7"/>
  <c r="L96" i="7"/>
  <c r="AR95" i="7"/>
  <c r="AP95" i="7"/>
  <c r="AL95" i="7"/>
  <c r="AJ95" i="7"/>
  <c r="AF95" i="7"/>
  <c r="AD95" i="7"/>
  <c r="T95" i="7"/>
  <c r="S95" i="7"/>
  <c r="R95" i="7"/>
  <c r="N95" i="7"/>
  <c r="M95" i="7"/>
  <c r="L95" i="7"/>
  <c r="AR94" i="7"/>
  <c r="AQ94" i="7"/>
  <c r="AL94" i="7"/>
  <c r="AK94" i="7"/>
  <c r="AF94" i="7"/>
  <c r="AE94" i="7"/>
  <c r="T94" i="7"/>
  <c r="S94" i="7"/>
  <c r="R94" i="7"/>
  <c r="Q94" i="7"/>
  <c r="P94" i="7"/>
  <c r="O94" i="7"/>
  <c r="AR93" i="7"/>
  <c r="AQ93" i="7"/>
  <c r="AP93" i="7"/>
  <c r="AL93" i="7"/>
  <c r="AJ93" i="7"/>
  <c r="AF93" i="7"/>
  <c r="AE93" i="7"/>
  <c r="AD93" i="7"/>
  <c r="T93" i="7"/>
  <c r="S93" i="7"/>
  <c r="R93" i="7"/>
  <c r="Q93" i="7"/>
  <c r="O93" i="7"/>
  <c r="N93" i="7"/>
  <c r="M93" i="7"/>
  <c r="L93" i="7"/>
  <c r="AR92" i="7"/>
  <c r="AQ92" i="7"/>
  <c r="AP92" i="7"/>
  <c r="AL92" i="7"/>
  <c r="AK92" i="7"/>
  <c r="AJ92" i="7"/>
  <c r="AF92" i="7"/>
  <c r="AE92" i="7"/>
  <c r="T92" i="7"/>
  <c r="S92" i="7"/>
  <c r="R92" i="7"/>
  <c r="Q92" i="7"/>
  <c r="P92" i="7"/>
  <c r="O92" i="7"/>
  <c r="N92" i="7"/>
  <c r="M92" i="7"/>
  <c r="AQ91" i="7"/>
  <c r="AP91" i="7"/>
  <c r="AK91" i="7"/>
  <c r="AJ91" i="7"/>
  <c r="AE91" i="7"/>
  <c r="AD91" i="7"/>
  <c r="Q91" i="7"/>
  <c r="P91" i="7"/>
  <c r="O91" i="7"/>
  <c r="N91" i="7"/>
  <c r="M91" i="7"/>
  <c r="L91" i="7"/>
  <c r="AR90" i="7"/>
  <c r="AP90" i="7"/>
  <c r="AL90" i="7"/>
  <c r="AJ90" i="7"/>
  <c r="AF90" i="7"/>
  <c r="AD90" i="7"/>
  <c r="T90" i="7"/>
  <c r="S90" i="7"/>
  <c r="R90" i="7"/>
  <c r="N90" i="7"/>
  <c r="M90" i="7"/>
  <c r="L90" i="7"/>
  <c r="AR89" i="7"/>
  <c r="AQ89" i="7"/>
  <c r="AP89" i="7"/>
  <c r="AK89" i="7"/>
  <c r="AJ89" i="7"/>
  <c r="AE89" i="7"/>
  <c r="AD89" i="7"/>
  <c r="Q89" i="7"/>
  <c r="P89" i="7"/>
  <c r="O89" i="7"/>
  <c r="N89" i="7"/>
  <c r="M89" i="7"/>
  <c r="L89" i="7"/>
  <c r="J89" i="7"/>
  <c r="AL89" i="7" s="1"/>
  <c r="AR88" i="7"/>
  <c r="AQ88" i="7"/>
  <c r="AP88" i="7"/>
  <c r="AL88" i="7"/>
  <c r="AK88" i="7"/>
  <c r="AJ88" i="7"/>
  <c r="AF88" i="7"/>
  <c r="AD88" i="7"/>
  <c r="T88" i="7"/>
  <c r="S88" i="7"/>
  <c r="R88" i="7"/>
  <c r="Q88" i="7"/>
  <c r="P88" i="7"/>
  <c r="N88" i="7"/>
  <c r="M88" i="7"/>
  <c r="L88" i="7"/>
  <c r="J88" i="7"/>
  <c r="AE88" i="7" s="1"/>
  <c r="AR87" i="7"/>
  <c r="AQ87" i="7"/>
  <c r="AP87" i="7"/>
  <c r="AL87" i="7"/>
  <c r="AK87" i="7"/>
  <c r="AJ87" i="7"/>
  <c r="AF87" i="7"/>
  <c r="AE87" i="7"/>
  <c r="AD87" i="7"/>
  <c r="T87" i="7"/>
  <c r="R87" i="7"/>
  <c r="Q87" i="7"/>
  <c r="P87" i="7"/>
  <c r="O87" i="7"/>
  <c r="N87" i="7"/>
  <c r="M87" i="7"/>
  <c r="L87" i="7"/>
  <c r="J87" i="7"/>
  <c r="AR86" i="7"/>
  <c r="AQ86" i="7"/>
  <c r="AL86" i="7"/>
  <c r="AK86" i="7"/>
  <c r="AF86" i="7"/>
  <c r="AE86" i="7"/>
  <c r="T86" i="7"/>
  <c r="S86" i="7"/>
  <c r="R86" i="7"/>
  <c r="Q86" i="7"/>
  <c r="P86" i="7"/>
  <c r="O86" i="7"/>
  <c r="AR85" i="7"/>
  <c r="AQ85" i="7"/>
  <c r="AP85" i="7"/>
  <c r="AL85" i="7"/>
  <c r="AK85" i="7"/>
  <c r="AJ85" i="7"/>
  <c r="AF85" i="7"/>
  <c r="AD85" i="7"/>
  <c r="T85" i="7"/>
  <c r="S85" i="7"/>
  <c r="R85" i="7"/>
  <c r="Q85" i="7"/>
  <c r="P85" i="7"/>
  <c r="N85" i="7"/>
  <c r="M85" i="7"/>
  <c r="L85" i="7"/>
  <c r="AR84" i="7"/>
  <c r="AQ84" i="7"/>
  <c r="AL84" i="7"/>
  <c r="AK84" i="7"/>
  <c r="AF84" i="7"/>
  <c r="AE84" i="7"/>
  <c r="T84" i="7"/>
  <c r="S84" i="7"/>
  <c r="R84" i="7"/>
  <c r="Q84" i="7"/>
  <c r="P84" i="7"/>
  <c r="O84" i="7"/>
  <c r="AQ83" i="7"/>
  <c r="AP83" i="7"/>
  <c r="AK83" i="7"/>
  <c r="AJ83" i="7"/>
  <c r="AE83" i="7"/>
  <c r="AD83" i="7"/>
  <c r="Q83" i="7"/>
  <c r="P83" i="7"/>
  <c r="O83" i="7"/>
  <c r="N83" i="7"/>
  <c r="M83" i="7"/>
  <c r="L83" i="7"/>
  <c r="AR82" i="7"/>
  <c r="AP82" i="7"/>
  <c r="AL82" i="7"/>
  <c r="AK82" i="7"/>
  <c r="AJ82" i="7"/>
  <c r="AF82" i="7"/>
  <c r="AD82" i="7"/>
  <c r="T82" i="7"/>
  <c r="S82" i="7"/>
  <c r="R82" i="7"/>
  <c r="N82" i="7"/>
  <c r="M82" i="7"/>
  <c r="L82" i="7"/>
  <c r="J82" i="7"/>
  <c r="AE82" i="7" s="1"/>
  <c r="AR81" i="7"/>
  <c r="AQ81" i="7"/>
  <c r="AP81" i="7"/>
  <c r="AL81" i="7"/>
  <c r="AK81" i="7"/>
  <c r="AJ81" i="7"/>
  <c r="AF81" i="7"/>
  <c r="AD81" i="7"/>
  <c r="T81" i="7"/>
  <c r="S81" i="7"/>
  <c r="R81" i="7"/>
  <c r="Q81" i="7"/>
  <c r="P81" i="7"/>
  <c r="N81" i="7"/>
  <c r="M81" i="7"/>
  <c r="L81" i="7"/>
  <c r="J81" i="7"/>
  <c r="AE81" i="7" s="1"/>
  <c r="AR80" i="7"/>
  <c r="AQ80" i="7"/>
  <c r="AP80" i="7"/>
  <c r="AL80" i="7"/>
  <c r="AK80" i="7"/>
  <c r="AJ80" i="7"/>
  <c r="AF80" i="7"/>
  <c r="AE80" i="7"/>
  <c r="AD80" i="7"/>
  <c r="T80" i="7"/>
  <c r="S80" i="7"/>
  <c r="R80" i="7"/>
  <c r="Q80" i="7"/>
  <c r="P80" i="7"/>
  <c r="O80" i="7"/>
  <c r="N80" i="7"/>
  <c r="L80" i="7"/>
  <c r="J80" i="7"/>
  <c r="AR79" i="7"/>
  <c r="AQ79" i="7"/>
  <c r="AP79" i="7"/>
  <c r="AL79" i="7"/>
  <c r="AK79" i="7"/>
  <c r="AF79" i="7"/>
  <c r="AE79" i="7"/>
  <c r="AD79" i="7"/>
  <c r="T79" i="7"/>
  <c r="S79" i="7"/>
  <c r="R79" i="7"/>
  <c r="Q79" i="7"/>
  <c r="P79" i="7"/>
  <c r="O79" i="7"/>
  <c r="J79" i="7"/>
  <c r="AJ79" i="7" s="1"/>
  <c r="AR78" i="7"/>
  <c r="AQ78" i="7"/>
  <c r="AP78" i="7"/>
  <c r="AL78" i="7"/>
  <c r="AJ78" i="7"/>
  <c r="AF78" i="7"/>
  <c r="AD78" i="7"/>
  <c r="T78" i="7"/>
  <c r="S78" i="7"/>
  <c r="R78" i="7"/>
  <c r="N78" i="7"/>
  <c r="M78" i="7"/>
  <c r="L78" i="7"/>
  <c r="J78" i="7"/>
  <c r="AK78" i="7" s="1"/>
  <c r="AR77" i="7"/>
  <c r="AQ77" i="7"/>
  <c r="AP77" i="7"/>
  <c r="AK77" i="7"/>
  <c r="AJ77" i="7"/>
  <c r="AE77" i="7"/>
  <c r="AD77" i="7"/>
  <c r="Q77" i="7"/>
  <c r="P77" i="7"/>
  <c r="O77" i="7"/>
  <c r="N77" i="7"/>
  <c r="M77" i="7"/>
  <c r="L77" i="7"/>
  <c r="J77" i="7"/>
  <c r="AL77" i="7" s="1"/>
  <c r="AR76" i="7"/>
  <c r="AQ76" i="7"/>
  <c r="AP76" i="7"/>
  <c r="AL76" i="7"/>
  <c r="AK76" i="7"/>
  <c r="AJ76" i="7"/>
  <c r="AF76" i="7"/>
  <c r="AE76" i="7"/>
  <c r="T76" i="7"/>
  <c r="S76" i="7"/>
  <c r="R76" i="7"/>
  <c r="Q76" i="7"/>
  <c r="P76" i="7"/>
  <c r="O76" i="7"/>
  <c r="N76" i="7"/>
  <c r="M76" i="7"/>
  <c r="AR75" i="7"/>
  <c r="AQ75" i="7"/>
  <c r="AP75" i="7"/>
  <c r="AL75" i="7"/>
  <c r="AK75" i="7"/>
  <c r="AJ75" i="7"/>
  <c r="AE75" i="7"/>
  <c r="AD75" i="7"/>
  <c r="T75" i="7"/>
  <c r="S75" i="7"/>
  <c r="Q75" i="7"/>
  <c r="P75" i="7"/>
  <c r="O75" i="7"/>
  <c r="N75" i="7"/>
  <c r="M75" i="7"/>
  <c r="L75" i="7"/>
  <c r="AR74" i="7"/>
  <c r="AP74" i="7"/>
  <c r="AL74" i="7"/>
  <c r="AJ74" i="7"/>
  <c r="AF74" i="7"/>
  <c r="AD74" i="7"/>
  <c r="T74" i="7"/>
  <c r="S74" i="7"/>
  <c r="R74" i="7"/>
  <c r="N74" i="7"/>
  <c r="M74" i="7"/>
  <c r="L74" i="7"/>
  <c r="AQ73" i="7"/>
  <c r="AP73" i="7"/>
  <c r="AL73" i="7"/>
  <c r="AK73" i="7"/>
  <c r="AJ73" i="7"/>
  <c r="AF73" i="7"/>
  <c r="AE73" i="7"/>
  <c r="AD73" i="7"/>
  <c r="S73" i="7"/>
  <c r="R73" i="7"/>
  <c r="Q73" i="7"/>
  <c r="P73" i="7"/>
  <c r="O73" i="7"/>
  <c r="N73" i="7"/>
  <c r="M73" i="7"/>
  <c r="L73" i="7"/>
  <c r="AR72" i="7"/>
  <c r="AQ72" i="7"/>
  <c r="AP72" i="7"/>
  <c r="AL72" i="7"/>
  <c r="AJ72" i="7"/>
  <c r="AF72" i="7"/>
  <c r="AE72" i="7"/>
  <c r="AD72" i="7"/>
  <c r="T72" i="7"/>
  <c r="S72" i="7"/>
  <c r="R72" i="7"/>
  <c r="Q72" i="7"/>
  <c r="O72" i="7"/>
  <c r="N72" i="7"/>
  <c r="M72" i="7"/>
  <c r="L72" i="7"/>
  <c r="AR71" i="7"/>
  <c r="AQ71" i="7"/>
  <c r="AP71" i="7"/>
  <c r="AL71" i="7"/>
  <c r="AK71" i="7"/>
  <c r="AJ71" i="7"/>
  <c r="AF71" i="7"/>
  <c r="AE71" i="7"/>
  <c r="T71" i="7"/>
  <c r="S71" i="7"/>
  <c r="R71" i="7"/>
  <c r="Q71" i="7"/>
  <c r="P71" i="7"/>
  <c r="O71" i="7"/>
  <c r="N71" i="7"/>
  <c r="M71" i="7"/>
  <c r="AQ70" i="7"/>
  <c r="AP70" i="7"/>
  <c r="AL70" i="7"/>
  <c r="AK70" i="7"/>
  <c r="AJ70" i="7"/>
  <c r="AE70" i="7"/>
  <c r="AD70" i="7"/>
  <c r="Q70" i="7"/>
  <c r="P70" i="7"/>
  <c r="O70" i="7"/>
  <c r="N70" i="7"/>
  <c r="M70" i="7"/>
  <c r="L70" i="7"/>
  <c r="J70" i="7"/>
  <c r="AF70" i="7" s="1"/>
  <c r="AR69" i="7"/>
  <c r="AQ69" i="7"/>
  <c r="AP69" i="7"/>
  <c r="AK69" i="7"/>
  <c r="AJ69" i="7"/>
  <c r="AF69" i="7"/>
  <c r="AE69" i="7"/>
  <c r="AD69" i="7"/>
  <c r="Q69" i="7"/>
  <c r="P69" i="7"/>
  <c r="O69" i="7"/>
  <c r="N69" i="7"/>
  <c r="M69" i="7"/>
  <c r="L69" i="7"/>
  <c r="J69" i="7"/>
  <c r="AL69" i="7" s="1"/>
  <c r="AR68" i="7"/>
  <c r="AP68" i="7"/>
  <c r="AL68" i="7"/>
  <c r="AK68" i="7"/>
  <c r="AJ68" i="7"/>
  <c r="AF68" i="7"/>
  <c r="AE68" i="7"/>
  <c r="AD68" i="7"/>
  <c r="T68" i="7"/>
  <c r="S68" i="7"/>
  <c r="R68" i="7"/>
  <c r="N68" i="7"/>
  <c r="M68" i="7"/>
  <c r="L68" i="7"/>
  <c r="J68" i="7"/>
  <c r="AQ68" i="7" s="1"/>
  <c r="AR67" i="7"/>
  <c r="AQ67" i="7"/>
  <c r="AP67" i="7"/>
  <c r="AL67" i="7"/>
  <c r="AK67" i="7"/>
  <c r="AJ67" i="7"/>
  <c r="AF67" i="7"/>
  <c r="AD67" i="7"/>
  <c r="T67" i="7"/>
  <c r="S67" i="7"/>
  <c r="R67" i="7"/>
  <c r="Q67" i="7"/>
  <c r="P67" i="7"/>
  <c r="N67" i="7"/>
  <c r="M67" i="7"/>
  <c r="L67" i="7"/>
  <c r="AR66" i="7"/>
  <c r="AQ66" i="7"/>
  <c r="AP66" i="7"/>
  <c r="AK66" i="7"/>
  <c r="AJ66" i="7"/>
  <c r="AF66" i="7"/>
  <c r="AE66" i="7"/>
  <c r="AD66" i="7"/>
  <c r="T66" i="7"/>
  <c r="R66" i="7"/>
  <c r="Q66" i="7"/>
  <c r="P66" i="7"/>
  <c r="O66" i="7"/>
  <c r="N66" i="7"/>
  <c r="M66" i="7"/>
  <c r="L66" i="7"/>
  <c r="AQ65" i="7"/>
  <c r="AP65" i="7"/>
  <c r="AL65" i="7"/>
  <c r="AK65" i="7"/>
  <c r="AJ65" i="7"/>
  <c r="AF65" i="7"/>
  <c r="AE65" i="7"/>
  <c r="AD65" i="7"/>
  <c r="S65" i="7"/>
  <c r="R65" i="7"/>
  <c r="Q65" i="7"/>
  <c r="P65" i="7"/>
  <c r="O65" i="7"/>
  <c r="N65" i="7"/>
  <c r="M65" i="7"/>
  <c r="L65" i="7"/>
  <c r="AR64" i="7"/>
  <c r="AQ64" i="7"/>
  <c r="AL64" i="7"/>
  <c r="AK64" i="7"/>
  <c r="AF64" i="7"/>
  <c r="AE64" i="7"/>
  <c r="T64" i="7"/>
  <c r="S64" i="7"/>
  <c r="R64" i="7"/>
  <c r="Q64" i="7"/>
  <c r="P64" i="7"/>
  <c r="O64" i="7"/>
  <c r="AR63" i="7"/>
  <c r="AQ63" i="7"/>
  <c r="AL63" i="7"/>
  <c r="AK63" i="7"/>
  <c r="AF63" i="7"/>
  <c r="AE63" i="7"/>
  <c r="AD63" i="7"/>
  <c r="T63" i="7"/>
  <c r="S63" i="7"/>
  <c r="R63" i="7"/>
  <c r="Q63" i="7"/>
  <c r="P63" i="7"/>
  <c r="O63" i="7"/>
  <c r="J63" i="7"/>
  <c r="AR62" i="7"/>
  <c r="AQ62" i="7"/>
  <c r="AP62" i="7"/>
  <c r="AK62" i="7"/>
  <c r="AJ62" i="7"/>
  <c r="AE62" i="7"/>
  <c r="AD62" i="7"/>
  <c r="Q62" i="7"/>
  <c r="P62" i="7"/>
  <c r="O62" i="7"/>
  <c r="N62" i="7"/>
  <c r="M62" i="7"/>
  <c r="L62" i="7"/>
  <c r="J62" i="7"/>
  <c r="AL62" i="7" s="1"/>
  <c r="AR61" i="7"/>
  <c r="AQ61" i="7"/>
  <c r="AP61" i="7"/>
  <c r="AL61" i="7"/>
  <c r="AK61" i="7"/>
  <c r="AJ61" i="7"/>
  <c r="AF61" i="7"/>
  <c r="AE61" i="7"/>
  <c r="AD61" i="7"/>
  <c r="T61" i="7"/>
  <c r="S61" i="7"/>
  <c r="R61" i="7"/>
  <c r="Q61" i="7"/>
  <c r="O61" i="7"/>
  <c r="N61" i="7"/>
  <c r="M61" i="7"/>
  <c r="L61" i="7"/>
  <c r="J61" i="7"/>
  <c r="AQ60" i="7"/>
  <c r="AP60" i="7"/>
  <c r="AL60" i="7"/>
  <c r="AK60" i="7"/>
  <c r="AJ60" i="7"/>
  <c r="AF60" i="7"/>
  <c r="AE60" i="7"/>
  <c r="AD60" i="7"/>
  <c r="S60" i="7"/>
  <c r="R60" i="7"/>
  <c r="Q60" i="7"/>
  <c r="P60" i="7"/>
  <c r="O60" i="7"/>
  <c r="N60" i="7"/>
  <c r="M60" i="7"/>
  <c r="L60" i="7"/>
  <c r="AR59" i="7"/>
  <c r="AQ59" i="7"/>
  <c r="AP59" i="7"/>
  <c r="AL59" i="7"/>
  <c r="AK59" i="7"/>
  <c r="AJ59" i="7"/>
  <c r="AF59" i="7"/>
  <c r="AD59" i="7"/>
  <c r="T59" i="7"/>
  <c r="S59" i="7"/>
  <c r="R59" i="7"/>
  <c r="Q59" i="7"/>
  <c r="P59" i="7"/>
  <c r="N59" i="7"/>
  <c r="M59" i="7"/>
  <c r="L59" i="7"/>
  <c r="AR58" i="7"/>
  <c r="AQ58" i="7"/>
  <c r="AP58" i="7"/>
  <c r="AL58" i="7"/>
  <c r="AK58" i="7"/>
  <c r="AF58" i="7"/>
  <c r="AE58" i="7"/>
  <c r="AD58" i="7"/>
  <c r="T58" i="7"/>
  <c r="S58" i="7"/>
  <c r="R58" i="7"/>
  <c r="Q58" i="7"/>
  <c r="P58" i="7"/>
  <c r="O58" i="7"/>
  <c r="J58" i="7"/>
  <c r="AJ58" i="7" s="1"/>
  <c r="AR57" i="7"/>
  <c r="AQ57" i="7"/>
  <c r="AP57" i="7"/>
  <c r="AL57" i="7"/>
  <c r="AK57" i="7"/>
  <c r="AJ57" i="7"/>
  <c r="AF57" i="7"/>
  <c r="AE57" i="7"/>
  <c r="AD57" i="7"/>
  <c r="T57" i="7"/>
  <c r="S57" i="7"/>
  <c r="R57" i="7"/>
  <c r="Q57" i="7"/>
  <c r="P57" i="7"/>
  <c r="O57" i="7"/>
  <c r="N57" i="7"/>
  <c r="M57" i="7"/>
  <c r="J57" i="7"/>
  <c r="AR56" i="7"/>
  <c r="AP56" i="7"/>
  <c r="AL56" i="7"/>
  <c r="AJ56" i="7"/>
  <c r="AF56" i="7"/>
  <c r="AD56" i="7"/>
  <c r="T56" i="7"/>
  <c r="S56" i="7"/>
  <c r="R56" i="7"/>
  <c r="N56" i="7"/>
  <c r="M56" i="7"/>
  <c r="L56" i="7"/>
  <c r="AR55" i="7"/>
  <c r="AQ55" i="7"/>
  <c r="AP55" i="7"/>
  <c r="AL55" i="7"/>
  <c r="AK55" i="7"/>
  <c r="AJ55" i="7"/>
  <c r="AF55" i="7"/>
  <c r="AE55" i="7"/>
  <c r="T55" i="7"/>
  <c r="S55" i="7"/>
  <c r="R55" i="7"/>
  <c r="Q55" i="7"/>
  <c r="P55" i="7"/>
  <c r="O55" i="7"/>
  <c r="N55" i="7"/>
  <c r="M55" i="7"/>
  <c r="AR54" i="7"/>
  <c r="AP54" i="7"/>
  <c r="AL54" i="7"/>
  <c r="AJ54" i="7"/>
  <c r="AF54" i="7"/>
  <c r="AE54" i="7"/>
  <c r="AD54" i="7"/>
  <c r="T54" i="7"/>
  <c r="S54" i="7"/>
  <c r="R54" i="7"/>
  <c r="N54" i="7"/>
  <c r="M54" i="7"/>
  <c r="L54" i="7"/>
  <c r="J54" i="7"/>
  <c r="AK54" i="7" s="1"/>
  <c r="AR53" i="7"/>
  <c r="AQ53" i="7"/>
  <c r="AP53" i="7"/>
  <c r="AK53" i="7"/>
  <c r="AJ53" i="7"/>
  <c r="AF53" i="7"/>
  <c r="AE53" i="7"/>
  <c r="AD53" i="7"/>
  <c r="T53" i="7"/>
  <c r="R53" i="7"/>
  <c r="Q53" i="7"/>
  <c r="P53" i="7"/>
  <c r="O53" i="7"/>
  <c r="N53" i="7"/>
  <c r="M53" i="7"/>
  <c r="L53" i="7"/>
  <c r="J53" i="7"/>
  <c r="AL53" i="7" s="1"/>
  <c r="AR52" i="7"/>
  <c r="AP52" i="7"/>
  <c r="AL52" i="7"/>
  <c r="AK52" i="7"/>
  <c r="AJ52" i="7"/>
  <c r="AF52" i="7"/>
  <c r="AE52" i="7"/>
  <c r="AD52" i="7"/>
  <c r="T52" i="7"/>
  <c r="S52" i="7"/>
  <c r="R52" i="7"/>
  <c r="P52" i="7"/>
  <c r="O52" i="7"/>
  <c r="N52" i="7"/>
  <c r="M52" i="7"/>
  <c r="L52" i="7"/>
  <c r="J52" i="7"/>
  <c r="AQ52" i="7" s="1"/>
  <c r="AR51" i="7"/>
  <c r="AQ51" i="7"/>
  <c r="AP51" i="7"/>
  <c r="AL51" i="7"/>
  <c r="AK51" i="7"/>
  <c r="AJ51" i="7"/>
  <c r="AF51" i="7"/>
  <c r="AE51" i="7"/>
  <c r="AD51" i="7"/>
  <c r="T51" i="7"/>
  <c r="S51" i="7"/>
  <c r="R51" i="7"/>
  <c r="Q51" i="7"/>
  <c r="P51" i="7"/>
  <c r="N51" i="7"/>
  <c r="M51" i="7"/>
  <c r="L51" i="7"/>
  <c r="J51" i="7"/>
  <c r="AR50" i="7"/>
  <c r="AQ50" i="7"/>
  <c r="AL50" i="7"/>
  <c r="AK50" i="7"/>
  <c r="AF50" i="7"/>
  <c r="AE50" i="7"/>
  <c r="T50" i="7"/>
  <c r="S50" i="7"/>
  <c r="R50" i="7"/>
  <c r="Q50" i="7"/>
  <c r="P50" i="7"/>
  <c r="O50" i="7"/>
  <c r="J50" i="7"/>
  <c r="AQ49" i="7"/>
  <c r="AP49" i="7"/>
  <c r="AL49" i="7"/>
  <c r="AK49" i="7"/>
  <c r="AJ49" i="7"/>
  <c r="AE49" i="7"/>
  <c r="AD49" i="7"/>
  <c r="Q49" i="7"/>
  <c r="P49" i="7"/>
  <c r="O49" i="7"/>
  <c r="N49" i="7"/>
  <c r="M49" i="7"/>
  <c r="L49" i="7"/>
  <c r="J49" i="7"/>
  <c r="AF49" i="7" s="1"/>
  <c r="AR48" i="7"/>
  <c r="AQ48" i="7"/>
  <c r="AP48" i="7"/>
  <c r="AL48" i="7"/>
  <c r="AK48" i="7"/>
  <c r="AF48" i="7"/>
  <c r="AE48" i="7"/>
  <c r="AD48" i="7"/>
  <c r="T48" i="7"/>
  <c r="S48" i="7"/>
  <c r="R48" i="7"/>
  <c r="Q48" i="7"/>
  <c r="P48" i="7"/>
  <c r="O48" i="7"/>
  <c r="N48" i="7"/>
  <c r="L48" i="7"/>
  <c r="AR47" i="7"/>
  <c r="AP47" i="7"/>
  <c r="AL47" i="7"/>
  <c r="AK47" i="7"/>
  <c r="AJ47" i="7"/>
  <c r="AF47" i="7"/>
  <c r="AE47" i="7"/>
  <c r="AD47" i="7"/>
  <c r="T47" i="7"/>
  <c r="S47" i="7"/>
  <c r="R47" i="7"/>
  <c r="P47" i="7"/>
  <c r="O47" i="7"/>
  <c r="N47" i="7"/>
  <c r="M47" i="7"/>
  <c r="L47" i="7"/>
  <c r="J47" i="7"/>
  <c r="AQ47" i="7" s="1"/>
  <c r="AQ46" i="7"/>
  <c r="AP46" i="7"/>
  <c r="AL46" i="7"/>
  <c r="AK46" i="7"/>
  <c r="AJ46" i="7"/>
  <c r="AE46" i="7"/>
  <c r="AD46" i="7"/>
  <c r="Q46" i="7"/>
  <c r="P46" i="7"/>
  <c r="O46" i="7"/>
  <c r="N46" i="7"/>
  <c r="M46" i="7"/>
  <c r="L46" i="7"/>
  <c r="J46" i="7"/>
  <c r="AR46" i="7" s="1"/>
  <c r="AR45" i="7"/>
  <c r="AQ45" i="7"/>
  <c r="AP45" i="7"/>
  <c r="AL45" i="7"/>
  <c r="AK45" i="7"/>
  <c r="AJ45" i="7"/>
  <c r="AF45" i="7"/>
  <c r="AE45" i="7"/>
  <c r="AD45" i="7"/>
  <c r="T45" i="7"/>
  <c r="S45" i="7"/>
  <c r="R45" i="7"/>
  <c r="Q45" i="7"/>
  <c r="P45" i="7"/>
  <c r="O45" i="7"/>
  <c r="N45" i="7"/>
  <c r="M45" i="7"/>
  <c r="J45" i="7"/>
  <c r="AR44" i="7"/>
  <c r="AQ44" i="7"/>
  <c r="AP44" i="7"/>
  <c r="AL44" i="7"/>
  <c r="AK44" i="7"/>
  <c r="AF44" i="7"/>
  <c r="AE44" i="7"/>
  <c r="T44" i="7"/>
  <c r="S44" i="7"/>
  <c r="R44" i="7"/>
  <c r="Q44" i="7"/>
  <c r="P44" i="7"/>
  <c r="O44" i="7"/>
  <c r="J44" i="7"/>
  <c r="AD44" i="7" s="1"/>
  <c r="AR43" i="7"/>
  <c r="AP43" i="7"/>
  <c r="AL43" i="7"/>
  <c r="AJ43" i="7"/>
  <c r="AF43" i="7"/>
  <c r="AD43" i="7"/>
  <c r="T43" i="7"/>
  <c r="S43" i="7"/>
  <c r="R43" i="7"/>
  <c r="N43" i="7"/>
  <c r="M43" i="7"/>
  <c r="L43" i="7"/>
  <c r="J43" i="7"/>
  <c r="AR42" i="7"/>
  <c r="AQ42" i="7"/>
  <c r="AP42" i="7"/>
  <c r="AL42" i="7"/>
  <c r="AJ42" i="7"/>
  <c r="AF42" i="7"/>
  <c r="AE42" i="7"/>
  <c r="AD42" i="7"/>
  <c r="T42" i="7"/>
  <c r="S42" i="7"/>
  <c r="R42" i="7"/>
  <c r="Q42" i="7"/>
  <c r="O42" i="7"/>
  <c r="N42" i="7"/>
  <c r="M42" i="7"/>
  <c r="L42" i="7"/>
  <c r="J42" i="7"/>
  <c r="AK42" i="7" s="1"/>
  <c r="AR41" i="7"/>
  <c r="AQ41" i="7"/>
  <c r="AP41" i="7"/>
  <c r="AK41" i="7"/>
  <c r="AJ41" i="7"/>
  <c r="AF41" i="7"/>
  <c r="AE41" i="7"/>
  <c r="AD41" i="7"/>
  <c r="T41" i="7"/>
  <c r="R41" i="7"/>
  <c r="Q41" i="7"/>
  <c r="P41" i="7"/>
  <c r="O41" i="7"/>
  <c r="N41" i="7"/>
  <c r="M41" i="7"/>
  <c r="L41" i="7"/>
  <c r="J41" i="7"/>
  <c r="AL41" i="7" s="1"/>
  <c r="AQ40" i="7"/>
  <c r="AP40" i="7"/>
  <c r="AL40" i="7"/>
  <c r="AK40" i="7"/>
  <c r="AJ40" i="7"/>
  <c r="AE40" i="7"/>
  <c r="AD40" i="7"/>
  <c r="Q40" i="7"/>
  <c r="P40" i="7"/>
  <c r="O40" i="7"/>
  <c r="N40" i="7"/>
  <c r="M40" i="7"/>
  <c r="L40" i="7"/>
  <c r="J40" i="7"/>
  <c r="AR40" i="7" s="1"/>
  <c r="AR39" i="7"/>
  <c r="AP39" i="7"/>
  <c r="AL39" i="7"/>
  <c r="AJ39" i="7"/>
  <c r="AF39" i="7"/>
  <c r="AE39" i="7"/>
  <c r="AD39" i="7"/>
  <c r="T39" i="7"/>
  <c r="S39" i="7"/>
  <c r="R39" i="7"/>
  <c r="N39" i="7"/>
  <c r="M39" i="7"/>
  <c r="L39" i="7"/>
  <c r="J39" i="7"/>
  <c r="AK39" i="7" s="1"/>
  <c r="AR38" i="7"/>
  <c r="AQ38" i="7"/>
  <c r="AP38" i="7"/>
  <c r="AK38" i="7"/>
  <c r="AJ38" i="7"/>
  <c r="AE38" i="7"/>
  <c r="AD38" i="7"/>
  <c r="Q38" i="7"/>
  <c r="P38" i="7"/>
  <c r="O38" i="7"/>
  <c r="N38" i="7"/>
  <c r="M38" i="7"/>
  <c r="L38" i="7"/>
  <c r="J38" i="7"/>
  <c r="AL38" i="7" s="1"/>
  <c r="AR37" i="7"/>
  <c r="AQ37" i="7"/>
  <c r="AP37" i="7"/>
  <c r="AL37" i="7"/>
  <c r="AK37" i="7"/>
  <c r="AF37" i="7"/>
  <c r="AE37" i="7"/>
  <c r="AD37" i="7"/>
  <c r="T37" i="7"/>
  <c r="S37" i="7"/>
  <c r="R37" i="7"/>
  <c r="Q37" i="7"/>
  <c r="P37" i="7"/>
  <c r="O37" i="7"/>
  <c r="N37" i="7"/>
  <c r="L37" i="7"/>
  <c r="J37" i="7"/>
  <c r="AJ37" i="7" s="1"/>
  <c r="AR36" i="7"/>
  <c r="AQ36" i="7"/>
  <c r="AP36" i="7"/>
  <c r="AL36" i="7"/>
  <c r="AK36" i="7"/>
  <c r="AJ36" i="7"/>
  <c r="AF36" i="7"/>
  <c r="AE36" i="7"/>
  <c r="AD36" i="7"/>
  <c r="T36" i="7"/>
  <c r="S36" i="7"/>
  <c r="Q36" i="7"/>
  <c r="P36" i="7"/>
  <c r="O36" i="7"/>
  <c r="N36" i="7"/>
  <c r="M36" i="7"/>
  <c r="L36" i="7"/>
  <c r="J36" i="7"/>
  <c r="AR35" i="7"/>
  <c r="AQ35" i="7"/>
  <c r="AP35" i="7"/>
  <c r="AK35" i="7"/>
  <c r="AJ35" i="7"/>
  <c r="AF35" i="7"/>
  <c r="AE35" i="7"/>
  <c r="AD35" i="7"/>
  <c r="T35" i="7"/>
  <c r="R35" i="7"/>
  <c r="Q35" i="7"/>
  <c r="P35" i="7"/>
  <c r="O35" i="7"/>
  <c r="N35" i="7"/>
  <c r="M35" i="7"/>
  <c r="L35" i="7"/>
  <c r="J35" i="7"/>
  <c r="AL35" i="7" s="1"/>
  <c r="AR34" i="7"/>
  <c r="AQ34" i="7"/>
  <c r="AP34" i="7"/>
  <c r="AL34" i="7"/>
  <c r="AJ34" i="7"/>
  <c r="AF34" i="7"/>
  <c r="AD34" i="7"/>
  <c r="T34" i="7"/>
  <c r="S34" i="7"/>
  <c r="R34" i="7"/>
  <c r="N34" i="7"/>
  <c r="M34" i="7"/>
  <c r="L34" i="7"/>
  <c r="J34" i="7"/>
  <c r="AE34" i="7" s="1"/>
  <c r="AQ33" i="7"/>
  <c r="AP33" i="7"/>
  <c r="AK33" i="7"/>
  <c r="AJ33" i="7"/>
  <c r="AE33" i="7"/>
  <c r="AD33" i="7"/>
  <c r="Q33" i="7"/>
  <c r="P33" i="7"/>
  <c r="O33" i="7"/>
  <c r="N33" i="7"/>
  <c r="M33" i="7"/>
  <c r="L33" i="7"/>
  <c r="AQ32" i="7"/>
  <c r="AP32" i="7"/>
  <c r="AK32" i="7"/>
  <c r="AJ32" i="7"/>
  <c r="AE32" i="7"/>
  <c r="AD32" i="7"/>
  <c r="Q32" i="7"/>
  <c r="P32" i="7"/>
  <c r="O32" i="7"/>
  <c r="N32" i="7"/>
  <c r="M32" i="7"/>
  <c r="L32" i="7"/>
  <c r="AR31" i="7"/>
  <c r="AQ31" i="7"/>
  <c r="AL31" i="7"/>
  <c r="AK31" i="7"/>
  <c r="AF31" i="7"/>
  <c r="AE31" i="7"/>
  <c r="T31" i="7"/>
  <c r="S31" i="7"/>
  <c r="R31" i="7"/>
  <c r="Q31" i="7"/>
  <c r="P31" i="7"/>
  <c r="O31" i="7"/>
  <c r="AR30" i="7"/>
  <c r="AQ30" i="7"/>
  <c r="AP30" i="7"/>
  <c r="AL30" i="7"/>
  <c r="AK30" i="7"/>
  <c r="AF30" i="7"/>
  <c r="AE30" i="7"/>
  <c r="AD30" i="7"/>
  <c r="T30" i="7"/>
  <c r="S30" i="7"/>
  <c r="R30" i="7"/>
  <c r="Q30" i="7"/>
  <c r="P30" i="7"/>
  <c r="O30" i="7"/>
  <c r="N30" i="7"/>
  <c r="L30" i="7"/>
  <c r="AR29" i="7"/>
  <c r="AQ29" i="7"/>
  <c r="AP29" i="7"/>
  <c r="AL29" i="7"/>
  <c r="AK29" i="7"/>
  <c r="AJ29" i="7"/>
  <c r="AF29" i="7"/>
  <c r="AE29" i="7"/>
  <c r="AD29" i="7"/>
  <c r="T29" i="7"/>
  <c r="S29" i="7"/>
  <c r="R29" i="7"/>
  <c r="Q29" i="7"/>
  <c r="O29" i="7"/>
  <c r="N29" i="7"/>
  <c r="M29" i="7"/>
  <c r="L29" i="7"/>
  <c r="J29" i="7"/>
  <c r="AR28" i="7"/>
  <c r="AQ28" i="7"/>
  <c r="AP28" i="7"/>
  <c r="AL28" i="7"/>
  <c r="AJ28" i="7"/>
  <c r="AF28" i="7"/>
  <c r="AE28" i="7"/>
  <c r="AD28" i="7"/>
  <c r="T28" i="7"/>
  <c r="S28" i="7"/>
  <c r="R28" i="7"/>
  <c r="Q28" i="7"/>
  <c r="O28" i="7"/>
  <c r="N28" i="7"/>
  <c r="M28" i="7"/>
  <c r="L28" i="7"/>
  <c r="AR27" i="7"/>
  <c r="AQ27" i="7"/>
  <c r="AP27" i="7"/>
  <c r="AK27" i="7"/>
  <c r="AJ27" i="7"/>
  <c r="AF27" i="7"/>
  <c r="AE27" i="7"/>
  <c r="AD27" i="7"/>
  <c r="T27" i="7"/>
  <c r="R27" i="7"/>
  <c r="Q27" i="7"/>
  <c r="P27" i="7"/>
  <c r="O27" i="7"/>
  <c r="N27" i="7"/>
  <c r="M27" i="7"/>
  <c r="L27" i="7"/>
  <c r="J27" i="7"/>
  <c r="AL27" i="7" s="1"/>
  <c r="AR26" i="7"/>
  <c r="AQ26" i="7"/>
  <c r="AL26" i="7"/>
  <c r="AK26" i="7"/>
  <c r="AJ26" i="7"/>
  <c r="AF26" i="7"/>
  <c r="AE26" i="7"/>
  <c r="AD26" i="7"/>
  <c r="T26" i="7"/>
  <c r="S26" i="7"/>
  <c r="R26" i="7"/>
  <c r="Q26" i="7"/>
  <c r="P26" i="7"/>
  <c r="O26" i="7"/>
  <c r="M26" i="7"/>
  <c r="L26" i="7"/>
  <c r="AR25" i="7"/>
  <c r="AQ25" i="7"/>
  <c r="AP25" i="7"/>
  <c r="AL25" i="7"/>
  <c r="AK25" i="7"/>
  <c r="AJ25" i="7"/>
  <c r="AF25" i="7"/>
  <c r="AE25" i="7"/>
  <c r="AD25" i="7"/>
  <c r="T25" i="7"/>
  <c r="S25" i="7"/>
  <c r="R25" i="7"/>
  <c r="Q25" i="7"/>
  <c r="O25" i="7"/>
  <c r="N25" i="7"/>
  <c r="M25" i="7"/>
  <c r="L25" i="7"/>
  <c r="J25" i="7"/>
  <c r="AR24" i="7"/>
  <c r="AP24" i="7"/>
  <c r="AL24" i="7"/>
  <c r="AJ24" i="7"/>
  <c r="AF24" i="7"/>
  <c r="AD24" i="7"/>
  <c r="T24" i="7"/>
  <c r="S24" i="7"/>
  <c r="R24" i="7"/>
  <c r="N24" i="7"/>
  <c r="M24" i="7"/>
  <c r="L24" i="7"/>
  <c r="AR23" i="7"/>
  <c r="AQ23" i="7"/>
  <c r="AP23" i="7"/>
  <c r="AL23" i="7"/>
  <c r="AJ23" i="7"/>
  <c r="AF23" i="7"/>
  <c r="AE23" i="7"/>
  <c r="AD23" i="7"/>
  <c r="T23" i="7"/>
  <c r="S23" i="7"/>
  <c r="R23" i="7"/>
  <c r="Q23" i="7"/>
  <c r="O23" i="7"/>
  <c r="N23" i="7"/>
  <c r="M23" i="7"/>
  <c r="L23" i="7"/>
  <c r="AR22" i="7"/>
  <c r="AQ22" i="7"/>
  <c r="AL22" i="7"/>
  <c r="AK22" i="7"/>
  <c r="AJ22" i="7"/>
  <c r="AF22" i="7"/>
  <c r="AE22" i="7"/>
  <c r="AD22" i="7"/>
  <c r="T22" i="7"/>
  <c r="S22" i="7"/>
  <c r="R22" i="7"/>
  <c r="Q22" i="7"/>
  <c r="P22" i="7"/>
  <c r="O22" i="7"/>
  <c r="J22" i="7"/>
  <c r="AP22" i="7" s="1"/>
  <c r="AR21" i="7"/>
  <c r="AQ21" i="7"/>
  <c r="AP21" i="7"/>
  <c r="AL21" i="7"/>
  <c r="AK21" i="7"/>
  <c r="AJ21" i="7"/>
  <c r="AF21" i="7"/>
  <c r="AD21" i="7"/>
  <c r="T21" i="7"/>
  <c r="S21" i="7"/>
  <c r="R21" i="7"/>
  <c r="Q21" i="7"/>
  <c r="P21" i="7"/>
  <c r="N21" i="7"/>
  <c r="M21" i="7"/>
  <c r="L21" i="7"/>
  <c r="AR20" i="7"/>
  <c r="AQ20" i="7"/>
  <c r="AP20" i="7"/>
  <c r="AL20" i="7"/>
  <c r="AJ20" i="7"/>
  <c r="AF20" i="7"/>
  <c r="AE20" i="7"/>
  <c r="AD20" i="7"/>
  <c r="T20" i="7"/>
  <c r="S20" i="7"/>
  <c r="R20" i="7"/>
  <c r="Q20" i="7"/>
  <c r="O20" i="7"/>
  <c r="N20" i="7"/>
  <c r="M20" i="7"/>
  <c r="L20" i="7"/>
  <c r="AR19" i="7"/>
  <c r="AQ19" i="7"/>
  <c r="AL19" i="7"/>
  <c r="AK19" i="7"/>
  <c r="AJ19" i="7"/>
  <c r="AF19" i="7"/>
  <c r="AE19" i="7"/>
  <c r="AD19" i="7"/>
  <c r="T19" i="7"/>
  <c r="S19" i="7"/>
  <c r="R19" i="7"/>
  <c r="Q19" i="7"/>
  <c r="P19" i="7"/>
  <c r="O19" i="7"/>
  <c r="J19" i="7"/>
  <c r="AP19" i="7" s="1"/>
  <c r="AR18" i="7"/>
  <c r="AQ18" i="7"/>
  <c r="AP18" i="7"/>
  <c r="AL18" i="7"/>
  <c r="AK18" i="7"/>
  <c r="AJ18" i="7"/>
  <c r="AF18" i="7"/>
  <c r="AD18" i="7"/>
  <c r="T18" i="7"/>
  <c r="S18" i="7"/>
  <c r="R18" i="7"/>
  <c r="Q18" i="7"/>
  <c r="P18" i="7"/>
  <c r="N18" i="7"/>
  <c r="M18" i="7"/>
  <c r="L18" i="7"/>
  <c r="J18" i="7"/>
  <c r="AE18" i="7" s="1"/>
  <c r="AQ17" i="7"/>
  <c r="AP17" i="7"/>
  <c r="AK17" i="7"/>
  <c r="AJ17" i="7"/>
  <c r="AE17" i="7"/>
  <c r="AD17" i="7"/>
  <c r="Q17" i="7"/>
  <c r="P17" i="7"/>
  <c r="O17" i="7"/>
  <c r="N17" i="7"/>
  <c r="M17" i="7"/>
  <c r="L17" i="7"/>
  <c r="AR16" i="7"/>
  <c r="AQ16" i="7"/>
  <c r="AL16" i="7"/>
  <c r="AK16" i="7"/>
  <c r="AF16" i="7"/>
  <c r="AE16" i="7"/>
  <c r="T16" i="7"/>
  <c r="S16" i="7"/>
  <c r="R16" i="7"/>
  <c r="Q16" i="7"/>
  <c r="P16" i="7"/>
  <c r="O16" i="7"/>
  <c r="AR15" i="7"/>
  <c r="AQ15" i="7"/>
  <c r="AP15" i="7"/>
  <c r="AL15" i="7"/>
  <c r="AJ15" i="7"/>
  <c r="AF15" i="7"/>
  <c r="AE15" i="7"/>
  <c r="AD15" i="7"/>
  <c r="T15" i="7"/>
  <c r="S15" i="7"/>
  <c r="R15" i="7"/>
  <c r="Q15" i="7"/>
  <c r="O15" i="7"/>
  <c r="N15" i="7"/>
  <c r="M15" i="7"/>
  <c r="L15" i="7"/>
  <c r="J15" i="7"/>
  <c r="AK15" i="7" s="1"/>
  <c r="AR14" i="7"/>
  <c r="AQ14" i="7"/>
  <c r="AP14" i="7"/>
  <c r="AL14" i="7"/>
  <c r="AK14" i="7"/>
  <c r="AJ14" i="7"/>
  <c r="AF14" i="7"/>
  <c r="AE14" i="7"/>
  <c r="AD14" i="7"/>
  <c r="S14" i="7"/>
  <c r="R14" i="7"/>
  <c r="Q14" i="7"/>
  <c r="P14" i="7"/>
  <c r="O14" i="7"/>
  <c r="N14" i="7"/>
  <c r="M14" i="7"/>
  <c r="L14" i="7"/>
  <c r="J14" i="7"/>
  <c r="AR13" i="7"/>
  <c r="AQ13" i="7"/>
  <c r="AP13" i="7"/>
  <c r="AL13" i="7"/>
  <c r="AK13" i="7"/>
  <c r="AJ13" i="7"/>
  <c r="AF13" i="7"/>
  <c r="AE13" i="7"/>
  <c r="AD13" i="7"/>
  <c r="T13" i="7"/>
  <c r="S13" i="7"/>
  <c r="R13" i="7"/>
  <c r="Q13" i="7"/>
  <c r="P13" i="7"/>
  <c r="O13" i="7"/>
  <c r="N13" i="7"/>
  <c r="L13" i="7"/>
  <c r="J13" i="7"/>
  <c r="AR12" i="7"/>
  <c r="AQ12" i="7"/>
  <c r="AP12" i="7"/>
  <c r="AL12" i="7"/>
  <c r="AK12" i="7"/>
  <c r="AJ12" i="7"/>
  <c r="AF12" i="7"/>
  <c r="AE12" i="7"/>
  <c r="AD12" i="7"/>
  <c r="S12" i="7"/>
  <c r="R12" i="7"/>
  <c r="Q12" i="7"/>
  <c r="P12" i="7"/>
  <c r="O12" i="7"/>
  <c r="N12" i="7"/>
  <c r="M12" i="7"/>
  <c r="L12" i="7"/>
  <c r="J12" i="7"/>
  <c r="AR11" i="7"/>
  <c r="AQ11" i="7"/>
  <c r="AP11" i="7"/>
  <c r="AK11" i="7"/>
  <c r="AJ11" i="7"/>
  <c r="AF11" i="7"/>
  <c r="AE11" i="7"/>
  <c r="AD11" i="7"/>
  <c r="T11" i="7"/>
  <c r="R11" i="7"/>
  <c r="Q11" i="7"/>
  <c r="P11" i="7"/>
  <c r="O11" i="7"/>
  <c r="N11" i="7"/>
  <c r="M11" i="7"/>
  <c r="L11" i="7"/>
  <c r="AR10" i="7"/>
  <c r="AQ10" i="7"/>
  <c r="AP10" i="7"/>
  <c r="AL10" i="7"/>
  <c r="AK10" i="7"/>
  <c r="AJ10" i="7"/>
  <c r="AF10" i="7"/>
  <c r="AE10" i="7"/>
  <c r="AD10" i="7"/>
  <c r="T10" i="7"/>
  <c r="S10" i="7"/>
  <c r="R10" i="7"/>
  <c r="Q10" i="7"/>
  <c r="P10" i="7"/>
  <c r="O10" i="7"/>
  <c r="N10" i="7"/>
  <c r="L10" i="7"/>
  <c r="J10" i="7"/>
  <c r="AQ9" i="7"/>
  <c r="AP9" i="7"/>
  <c r="AK9" i="7"/>
  <c r="AJ9" i="7"/>
  <c r="AE9" i="7"/>
  <c r="AD9" i="7"/>
  <c r="Q9" i="7"/>
  <c r="P9" i="7"/>
  <c r="O9" i="7"/>
  <c r="N9" i="7"/>
  <c r="M9" i="7"/>
  <c r="L9" i="7"/>
  <c r="AR8" i="7"/>
  <c r="AQ8" i="7"/>
  <c r="AP8" i="7"/>
  <c r="AL8" i="7"/>
  <c r="AK8" i="7"/>
  <c r="AJ8" i="7"/>
  <c r="AF8" i="7"/>
  <c r="AE8" i="7"/>
  <c r="AD8" i="7"/>
  <c r="T8" i="7"/>
  <c r="S8" i="7"/>
  <c r="R8" i="7"/>
  <c r="Q8" i="7"/>
  <c r="P8" i="7"/>
  <c r="O8" i="7"/>
  <c r="J8" i="7"/>
  <c r="AR7" i="7"/>
  <c r="AQ7" i="7"/>
  <c r="AP7" i="7"/>
  <c r="AL7" i="7"/>
  <c r="AK7" i="7"/>
  <c r="AJ7" i="7"/>
  <c r="AF7" i="7"/>
  <c r="AE7" i="7"/>
  <c r="AD7" i="7"/>
  <c r="T7" i="7"/>
  <c r="S7" i="7"/>
  <c r="R7" i="7"/>
  <c r="N7" i="7"/>
  <c r="M7" i="7"/>
  <c r="L7" i="7"/>
  <c r="J7" i="7"/>
  <c r="AQ6" i="7"/>
  <c r="AP6" i="7"/>
  <c r="AL6" i="7"/>
  <c r="AK6" i="7"/>
  <c r="AJ6" i="7"/>
  <c r="AF6" i="7"/>
  <c r="AE6" i="7"/>
  <c r="AD6" i="7"/>
  <c r="S6" i="7"/>
  <c r="R6" i="7"/>
  <c r="Q6" i="7"/>
  <c r="P6" i="7"/>
  <c r="O6" i="7"/>
  <c r="N6" i="7"/>
  <c r="M6" i="7"/>
  <c r="L6" i="7"/>
  <c r="AQ5" i="7"/>
  <c r="AP5" i="7"/>
  <c r="AL5" i="7"/>
  <c r="AK5" i="7"/>
  <c r="AJ5" i="7"/>
  <c r="AF5" i="7"/>
  <c r="AE5" i="7"/>
  <c r="AD5" i="7"/>
  <c r="S5" i="7"/>
  <c r="R5" i="7"/>
  <c r="Q5" i="7"/>
  <c r="P5" i="7"/>
  <c r="O5" i="7"/>
  <c r="N5" i="7"/>
  <c r="M5" i="7"/>
  <c r="L5" i="7"/>
  <c r="AR4" i="7"/>
  <c r="AQ4" i="7"/>
  <c r="AP4" i="7"/>
  <c r="AL4" i="7"/>
  <c r="AK4" i="7"/>
  <c r="AJ4" i="7"/>
  <c r="AF4" i="7"/>
  <c r="AE4" i="7"/>
  <c r="AD4" i="7"/>
  <c r="T4" i="7"/>
  <c r="S4" i="7"/>
  <c r="R4" i="7"/>
  <c r="Q4" i="7"/>
  <c r="P4" i="7"/>
  <c r="O4" i="7"/>
  <c r="N4" i="7"/>
  <c r="L4" i="7"/>
  <c r="J4" i="7"/>
  <c r="AR3" i="7"/>
  <c r="AQ3" i="7"/>
  <c r="AL3" i="7"/>
  <c r="AK3" i="7"/>
  <c r="AF3" i="7"/>
  <c r="AE3" i="7"/>
  <c r="T3" i="7"/>
  <c r="S3" i="7"/>
  <c r="R3" i="7"/>
  <c r="Q3" i="7"/>
  <c r="P3" i="7"/>
  <c r="O3" i="7"/>
  <c r="AR2" i="7"/>
  <c r="AQ2" i="7"/>
  <c r="AP2" i="7"/>
  <c r="AL2" i="7"/>
  <c r="AK2" i="7"/>
  <c r="AJ2" i="7"/>
  <c r="AF2" i="7"/>
  <c r="AE2" i="7"/>
  <c r="AD2" i="7"/>
  <c r="T2" i="7"/>
  <c r="S2" i="7"/>
  <c r="R2" i="7"/>
  <c r="N2" i="7"/>
  <c r="M2" i="7"/>
  <c r="L2" i="7"/>
  <c r="J2" i="7"/>
  <c r="AU110" i="6"/>
  <c r="AT110" i="6"/>
  <c r="AS110" i="6"/>
  <c r="AR110" i="6"/>
  <c r="AQ110" i="6"/>
  <c r="AP110" i="6"/>
  <c r="AN110" i="6"/>
  <c r="AM110" i="6"/>
  <c r="AL110" i="6"/>
  <c r="AK110" i="6"/>
  <c r="AJ110" i="6"/>
  <c r="AI110" i="6"/>
  <c r="AH110" i="6"/>
  <c r="AG110" i="6"/>
  <c r="AF110" i="6"/>
  <c r="AE110" i="6"/>
  <c r="AD110" i="6"/>
  <c r="AC110" i="6"/>
  <c r="AB110" i="6"/>
  <c r="AA110" i="6"/>
  <c r="Y110" i="6"/>
  <c r="X110" i="6"/>
  <c r="W110" i="6"/>
  <c r="V110" i="6"/>
  <c r="U110" i="6"/>
  <c r="T110" i="6"/>
  <c r="R110" i="6"/>
  <c r="Q110" i="6"/>
  <c r="P110" i="6"/>
  <c r="O110" i="6"/>
  <c r="N110" i="6"/>
  <c r="M110" i="6"/>
  <c r="L110" i="6"/>
  <c r="AU109" i="6"/>
  <c r="AT109" i="6"/>
  <c r="AS109" i="6"/>
  <c r="AR109" i="6"/>
  <c r="AQ109" i="6"/>
  <c r="AP109" i="6"/>
  <c r="AO109" i="6"/>
  <c r="AN109" i="6"/>
  <c r="AM109" i="6"/>
  <c r="AK109" i="6"/>
  <c r="AJ109" i="6"/>
  <c r="AI109" i="6"/>
  <c r="AH109" i="6"/>
  <c r="AG109" i="6"/>
  <c r="AF109" i="6"/>
  <c r="AE109" i="6"/>
  <c r="AD109" i="6"/>
  <c r="AC109" i="6"/>
  <c r="AB109" i="6"/>
  <c r="AA109" i="6"/>
  <c r="Z109" i="6"/>
  <c r="Y109" i="6"/>
  <c r="X109" i="6"/>
  <c r="W109" i="6"/>
  <c r="V109" i="6"/>
  <c r="U109" i="6"/>
  <c r="T109" i="6"/>
  <c r="R109" i="6"/>
  <c r="Q109" i="6"/>
  <c r="P109" i="6"/>
  <c r="O109" i="6"/>
  <c r="N109" i="6"/>
  <c r="M109" i="6"/>
  <c r="L109" i="6"/>
  <c r="AU108" i="6"/>
  <c r="AT108" i="6"/>
  <c r="AS108" i="6"/>
  <c r="AR108" i="6"/>
  <c r="AQ108" i="6"/>
  <c r="AP108" i="6"/>
  <c r="AN108" i="6"/>
  <c r="AM108" i="6"/>
  <c r="AL108" i="6"/>
  <c r="AK108" i="6"/>
  <c r="AJ108" i="6"/>
  <c r="AI108" i="6"/>
  <c r="AH108" i="6"/>
  <c r="AG108" i="6"/>
  <c r="AF108" i="6"/>
  <c r="AE108" i="6"/>
  <c r="AD108" i="6"/>
  <c r="AC108" i="6"/>
  <c r="AB108" i="6"/>
  <c r="AA108" i="6"/>
  <c r="Y108" i="6"/>
  <c r="X108" i="6"/>
  <c r="W108" i="6"/>
  <c r="V108" i="6"/>
  <c r="U108" i="6"/>
  <c r="T108" i="6"/>
  <c r="R108" i="6"/>
  <c r="Q108" i="6"/>
  <c r="P108" i="6"/>
  <c r="O108" i="6"/>
  <c r="N108" i="6"/>
  <c r="M108" i="6"/>
  <c r="L108" i="6"/>
  <c r="J108" i="6"/>
  <c r="AO108" i="6" s="1"/>
  <c r="AU107" i="6"/>
  <c r="AT107" i="6"/>
  <c r="AS107" i="6"/>
  <c r="AR107" i="6"/>
  <c r="AQ107" i="6"/>
  <c r="AP107" i="6"/>
  <c r="AO107" i="6"/>
  <c r="AN107" i="6"/>
  <c r="AM107" i="6"/>
  <c r="AL107" i="6"/>
  <c r="AK107" i="6"/>
  <c r="AJ107" i="6"/>
  <c r="AI107" i="6"/>
  <c r="AG107" i="6"/>
  <c r="AF107" i="6"/>
  <c r="AE107" i="6"/>
  <c r="AD107" i="6"/>
  <c r="AC107" i="6"/>
  <c r="AB107" i="6"/>
  <c r="AA107" i="6"/>
  <c r="Z107" i="6"/>
  <c r="Y107" i="6"/>
  <c r="X107" i="6"/>
  <c r="W107" i="6"/>
  <c r="U107" i="6"/>
  <c r="T107" i="6"/>
  <c r="S107" i="6"/>
  <c r="R107" i="6"/>
  <c r="Q107" i="6"/>
  <c r="P107" i="6"/>
  <c r="N107" i="6"/>
  <c r="M107" i="6"/>
  <c r="L107" i="6"/>
  <c r="AU106" i="6"/>
  <c r="AT106" i="6"/>
  <c r="AR106" i="6"/>
  <c r="AQ106" i="6"/>
  <c r="AP106" i="6"/>
  <c r="AO106" i="6"/>
  <c r="AN106" i="6"/>
  <c r="AM106" i="6"/>
  <c r="AL106" i="6"/>
  <c r="AK106" i="6"/>
  <c r="AJ106" i="6"/>
  <c r="AI106" i="6"/>
  <c r="AH106" i="6"/>
  <c r="AG106" i="6"/>
  <c r="AF106" i="6"/>
  <c r="AE106" i="6"/>
  <c r="AD106" i="6"/>
  <c r="AC106" i="6"/>
  <c r="AB106" i="6"/>
  <c r="Z106" i="6"/>
  <c r="Y106" i="6"/>
  <c r="X106" i="6"/>
  <c r="W106" i="6"/>
  <c r="V106" i="6"/>
  <c r="U106" i="6"/>
  <c r="T106" i="6"/>
  <c r="S106" i="6"/>
  <c r="R106" i="6"/>
  <c r="Q106" i="6"/>
  <c r="P106" i="6"/>
  <c r="O106" i="6"/>
  <c r="M106" i="6"/>
  <c r="L106" i="6"/>
  <c r="J106" i="6"/>
  <c r="AS106" i="6" s="1"/>
  <c r="AU105" i="6"/>
  <c r="AS105" i="6"/>
  <c r="AR105" i="6"/>
  <c r="AQ105" i="6"/>
  <c r="AP105" i="6"/>
  <c r="AO105" i="6"/>
  <c r="AN105" i="6"/>
  <c r="AM105" i="6"/>
  <c r="AL105" i="6"/>
  <c r="AK105" i="6"/>
  <c r="AJ105" i="6"/>
  <c r="AI105" i="6"/>
  <c r="AH105" i="6"/>
  <c r="AG105" i="6"/>
  <c r="AF105" i="6"/>
  <c r="AE105" i="6"/>
  <c r="AD105" i="6"/>
  <c r="AC105" i="6"/>
  <c r="AA105" i="6"/>
  <c r="Z105" i="6"/>
  <c r="Y105" i="6"/>
  <c r="X105" i="6"/>
  <c r="W105" i="6"/>
  <c r="V105" i="6"/>
  <c r="U105" i="6"/>
  <c r="T105" i="6"/>
  <c r="S105" i="6"/>
  <c r="R105" i="6"/>
  <c r="P105" i="6"/>
  <c r="O105" i="6"/>
  <c r="N105" i="6"/>
  <c r="M105" i="6"/>
  <c r="L105" i="6"/>
  <c r="AU104" i="6"/>
  <c r="AS104" i="6"/>
  <c r="AR104" i="6"/>
  <c r="AQ104" i="6"/>
  <c r="AP104" i="6"/>
  <c r="AO104" i="6"/>
  <c r="AN104" i="6"/>
  <c r="AM104" i="6"/>
  <c r="AL104" i="6"/>
  <c r="AK104" i="6"/>
  <c r="AJ104" i="6"/>
  <c r="AI104" i="6"/>
  <c r="AH104" i="6"/>
  <c r="AG104" i="6"/>
  <c r="AF104" i="6"/>
  <c r="AE104" i="6"/>
  <c r="AD104" i="6"/>
  <c r="AC104" i="6"/>
  <c r="AA104" i="6"/>
  <c r="Z104" i="6"/>
  <c r="Y104" i="6"/>
  <c r="X104" i="6"/>
  <c r="W104" i="6"/>
  <c r="V104" i="6"/>
  <c r="U104" i="6"/>
  <c r="T104" i="6"/>
  <c r="S104" i="6"/>
  <c r="R104" i="6"/>
  <c r="P104" i="6"/>
  <c r="O104" i="6"/>
  <c r="N104" i="6"/>
  <c r="M104" i="6"/>
  <c r="L104" i="6"/>
  <c r="AU103" i="6"/>
  <c r="AT103" i="6"/>
  <c r="AS103" i="6"/>
  <c r="AQ103" i="6"/>
  <c r="AP103" i="6"/>
  <c r="AO103" i="6"/>
  <c r="AN103" i="6"/>
  <c r="AM103" i="6"/>
  <c r="AK103" i="6"/>
  <c r="AJ103" i="6"/>
  <c r="AI103" i="6"/>
  <c r="AH103" i="6"/>
  <c r="AG103" i="6"/>
  <c r="AE103" i="6"/>
  <c r="AD103" i="6"/>
  <c r="AC103" i="6"/>
  <c r="AB103" i="6"/>
  <c r="AA103" i="6"/>
  <c r="Z103" i="6"/>
  <c r="Y103" i="6"/>
  <c r="X103" i="6"/>
  <c r="W103" i="6"/>
  <c r="V103" i="6"/>
  <c r="U103" i="6"/>
  <c r="Q103" i="6"/>
  <c r="P103" i="6"/>
  <c r="O103" i="6"/>
  <c r="N103" i="6"/>
  <c r="M103" i="6"/>
  <c r="L103" i="6"/>
  <c r="AT102" i="6"/>
  <c r="AS102" i="6"/>
  <c r="AR102" i="6"/>
  <c r="AQ102" i="6"/>
  <c r="AP102" i="6"/>
  <c r="AO102" i="6"/>
  <c r="AN102" i="6"/>
  <c r="AM102" i="6"/>
  <c r="AL102" i="6"/>
  <c r="AK102" i="6"/>
  <c r="AJ102" i="6"/>
  <c r="AI102" i="6"/>
  <c r="AH102" i="6"/>
  <c r="AG102" i="6"/>
  <c r="AF102" i="6"/>
  <c r="AE102" i="6"/>
  <c r="AD102" i="6"/>
  <c r="AB102" i="6"/>
  <c r="AA102" i="6"/>
  <c r="Z102" i="6"/>
  <c r="Y102" i="6"/>
  <c r="X102" i="6"/>
  <c r="W102" i="6"/>
  <c r="V102" i="6"/>
  <c r="U102" i="6"/>
  <c r="S102" i="6"/>
  <c r="R102" i="6"/>
  <c r="Q102" i="6"/>
  <c r="P102" i="6"/>
  <c r="O102" i="6"/>
  <c r="N102" i="6"/>
  <c r="M102" i="6"/>
  <c r="L102" i="6"/>
  <c r="AU101" i="6"/>
  <c r="AT101" i="6"/>
  <c r="AS101" i="6"/>
  <c r="AQ101" i="6"/>
  <c r="AP101" i="6"/>
  <c r="AO101" i="6"/>
  <c r="AN101" i="6"/>
  <c r="AM101" i="6"/>
  <c r="AL101" i="6"/>
  <c r="AK101" i="6"/>
  <c r="AJ101" i="6"/>
  <c r="AI101" i="6"/>
  <c r="AH101" i="6"/>
  <c r="AG101" i="6"/>
  <c r="AF101" i="6"/>
  <c r="AE101" i="6"/>
  <c r="AD101" i="6"/>
  <c r="AC101" i="6"/>
  <c r="AB101" i="6"/>
  <c r="AA101" i="6"/>
  <c r="Z101" i="6"/>
  <c r="Y101" i="6"/>
  <c r="X101" i="6"/>
  <c r="W101" i="6"/>
  <c r="V101" i="6"/>
  <c r="U101" i="6"/>
  <c r="S101" i="6"/>
  <c r="R101" i="6"/>
  <c r="Q101" i="6"/>
  <c r="P101" i="6"/>
  <c r="O101" i="6"/>
  <c r="N101" i="6"/>
  <c r="M101" i="6"/>
  <c r="L101" i="6"/>
  <c r="AU100" i="6"/>
  <c r="AS100" i="6"/>
  <c r="AR100" i="6"/>
  <c r="AQ100" i="6"/>
  <c r="AP100" i="6"/>
  <c r="AO100" i="6"/>
  <c r="AM100" i="6"/>
  <c r="AL100" i="6"/>
  <c r="AK100" i="6"/>
  <c r="AJ100" i="6"/>
  <c r="AI100" i="6"/>
  <c r="AG100" i="6"/>
  <c r="AF100" i="6"/>
  <c r="AE100" i="6"/>
  <c r="AD100" i="6"/>
  <c r="AC100" i="6"/>
  <c r="AA100" i="6"/>
  <c r="Z100" i="6"/>
  <c r="X100" i="6"/>
  <c r="W100" i="6"/>
  <c r="U100" i="6"/>
  <c r="T100" i="6"/>
  <c r="S100" i="6"/>
  <c r="R100" i="6"/>
  <c r="N100" i="6"/>
  <c r="M100" i="6"/>
  <c r="L100" i="6"/>
  <c r="J100" i="6"/>
  <c r="AU99" i="6"/>
  <c r="AT99" i="6"/>
  <c r="AS99" i="6"/>
  <c r="AR99" i="6"/>
  <c r="AQ99" i="6"/>
  <c r="AP99" i="6"/>
  <c r="AO99" i="6"/>
  <c r="AN99" i="6"/>
  <c r="AM99" i="6"/>
  <c r="AL99" i="6"/>
  <c r="AK99" i="6"/>
  <c r="AJ99" i="6"/>
  <c r="AI99" i="6"/>
  <c r="AH99" i="6"/>
  <c r="AG99" i="6"/>
  <c r="AF99" i="6"/>
  <c r="AE99" i="6"/>
  <c r="AD99" i="6"/>
  <c r="AC99" i="6"/>
  <c r="AB99" i="6"/>
  <c r="AA99" i="6"/>
  <c r="Z99" i="6"/>
  <c r="Y99" i="6"/>
  <c r="X99" i="6"/>
  <c r="W99" i="6"/>
  <c r="V99" i="6"/>
  <c r="U99" i="6"/>
  <c r="Q99" i="6"/>
  <c r="P99" i="6"/>
  <c r="O99" i="6"/>
  <c r="N99" i="6"/>
  <c r="M99" i="6"/>
  <c r="L99" i="6"/>
  <c r="J99" i="6"/>
  <c r="AU98" i="6"/>
  <c r="AT98" i="6"/>
  <c r="AS98" i="6"/>
  <c r="AQ98" i="6"/>
  <c r="AP98" i="6"/>
  <c r="AO98" i="6"/>
  <c r="AN98" i="6"/>
  <c r="AM98" i="6"/>
  <c r="AK98" i="6"/>
  <c r="AJ98" i="6"/>
  <c r="AI98" i="6"/>
  <c r="AH98" i="6"/>
  <c r="AG98" i="6"/>
  <c r="AE98" i="6"/>
  <c r="AD98" i="6"/>
  <c r="AC98" i="6"/>
  <c r="AB98" i="6"/>
  <c r="AA98" i="6"/>
  <c r="Z98" i="6"/>
  <c r="Y98" i="6"/>
  <c r="X98" i="6"/>
  <c r="W98" i="6"/>
  <c r="V98" i="6"/>
  <c r="U98" i="6"/>
  <c r="Q98" i="6"/>
  <c r="P98" i="6"/>
  <c r="O98" i="6"/>
  <c r="N98" i="6"/>
  <c r="M98" i="6"/>
  <c r="L98" i="6"/>
  <c r="AU97" i="6"/>
  <c r="AT97" i="6"/>
  <c r="AS97" i="6"/>
  <c r="AR97" i="6"/>
  <c r="AQ97" i="6"/>
  <c r="AP97" i="6"/>
  <c r="AO97" i="6"/>
  <c r="AN97" i="6"/>
  <c r="AM97" i="6"/>
  <c r="AL97" i="6"/>
  <c r="AK97" i="6"/>
  <c r="AJ97" i="6"/>
  <c r="AI97" i="6"/>
  <c r="AH97" i="6"/>
  <c r="AG97" i="6"/>
  <c r="AF97" i="6"/>
  <c r="AD97" i="6"/>
  <c r="AC97" i="6"/>
  <c r="AB97" i="6"/>
  <c r="AA97" i="6"/>
  <c r="Z97" i="6"/>
  <c r="Y97" i="6"/>
  <c r="X97" i="6"/>
  <c r="W97" i="6"/>
  <c r="V97" i="6"/>
  <c r="U97" i="6"/>
  <c r="T97" i="6"/>
  <c r="S97" i="6"/>
  <c r="R97" i="6"/>
  <c r="Q97" i="6"/>
  <c r="P97" i="6"/>
  <c r="N97" i="6"/>
  <c r="M97" i="6"/>
  <c r="L97" i="6"/>
  <c r="AU96" i="6"/>
  <c r="AT96" i="6"/>
  <c r="AS96" i="6"/>
  <c r="AR96" i="6"/>
  <c r="AQ96" i="6"/>
  <c r="AP96" i="6"/>
  <c r="AO96" i="6"/>
  <c r="AN96" i="6"/>
  <c r="AM96" i="6"/>
  <c r="AL96" i="6"/>
  <c r="AK96" i="6"/>
  <c r="AJ96" i="6"/>
  <c r="AI96" i="6"/>
  <c r="AH96" i="6"/>
  <c r="AG96" i="6"/>
  <c r="AF96" i="6"/>
  <c r="AD96" i="6"/>
  <c r="AC96" i="6"/>
  <c r="AB96" i="6"/>
  <c r="AA96" i="6"/>
  <c r="Z96" i="6"/>
  <c r="Y96" i="6"/>
  <c r="X96" i="6"/>
  <c r="W96" i="6"/>
  <c r="V96" i="6"/>
  <c r="U96" i="6"/>
  <c r="T96" i="6"/>
  <c r="S96" i="6"/>
  <c r="R96" i="6"/>
  <c r="Q96" i="6"/>
  <c r="P96" i="6"/>
  <c r="N96" i="6"/>
  <c r="M96" i="6"/>
  <c r="L96" i="6"/>
  <c r="AU95" i="6"/>
  <c r="AT95" i="6"/>
  <c r="AS95" i="6"/>
  <c r="AR95" i="6"/>
  <c r="AQ95" i="6"/>
  <c r="AP95" i="6"/>
  <c r="AO95" i="6"/>
  <c r="AN95" i="6"/>
  <c r="AL95" i="6"/>
  <c r="AK95" i="6"/>
  <c r="AJ95" i="6"/>
  <c r="AI95" i="6"/>
  <c r="AH95" i="6"/>
  <c r="AG95" i="6"/>
  <c r="AF95" i="6"/>
  <c r="AE95" i="6"/>
  <c r="AD95" i="6"/>
  <c r="AC95" i="6"/>
  <c r="AB95" i="6"/>
  <c r="Z95" i="6"/>
  <c r="Y95" i="6"/>
  <c r="W95" i="6"/>
  <c r="V95" i="6"/>
  <c r="T95" i="6"/>
  <c r="S95" i="6"/>
  <c r="R95" i="6"/>
  <c r="Q95" i="6"/>
  <c r="P95" i="6"/>
  <c r="O95" i="6"/>
  <c r="J95" i="6"/>
  <c r="AM95" i="6" s="1"/>
  <c r="AU94" i="6"/>
  <c r="AT94" i="6"/>
  <c r="AS94" i="6"/>
  <c r="AR94" i="6"/>
  <c r="AQ94" i="6"/>
  <c r="AP94" i="6"/>
  <c r="AO94" i="6"/>
  <c r="AN94" i="6"/>
  <c r="AM94" i="6"/>
  <c r="AL94" i="6"/>
  <c r="AK94" i="6"/>
  <c r="AI94" i="6"/>
  <c r="AH94" i="6"/>
  <c r="AG94" i="6"/>
  <c r="AF94" i="6"/>
  <c r="AE94" i="6"/>
  <c r="AD94" i="6"/>
  <c r="AC94" i="6"/>
  <c r="AB94" i="6"/>
  <c r="AA94" i="6"/>
  <c r="Z94" i="6"/>
  <c r="Y94" i="6"/>
  <c r="X94" i="6"/>
  <c r="W94" i="6"/>
  <c r="V94" i="6"/>
  <c r="U94" i="6"/>
  <c r="T94" i="6"/>
  <c r="S94" i="6"/>
  <c r="R94" i="6"/>
  <c r="Q94" i="6"/>
  <c r="P94" i="6"/>
  <c r="O94" i="6"/>
  <c r="N94" i="6"/>
  <c r="L94" i="6"/>
  <c r="AU93" i="6"/>
  <c r="AT93" i="6"/>
  <c r="AS93" i="6"/>
  <c r="AR93" i="6"/>
  <c r="AP93" i="6"/>
  <c r="AO93" i="6"/>
  <c r="AN93" i="6"/>
  <c r="AM93" i="6"/>
  <c r="AL93" i="6"/>
  <c r="AJ93" i="6"/>
  <c r="AI93" i="6"/>
  <c r="AH93" i="6"/>
  <c r="AG93" i="6"/>
  <c r="AF93" i="6"/>
  <c r="AD93" i="6"/>
  <c r="AC93" i="6"/>
  <c r="AB93" i="6"/>
  <c r="AA93" i="6"/>
  <c r="Z93" i="6"/>
  <c r="Y93" i="6"/>
  <c r="X93" i="6"/>
  <c r="W93" i="6"/>
  <c r="V93" i="6"/>
  <c r="U93" i="6"/>
  <c r="T93" i="6"/>
  <c r="S93" i="6"/>
  <c r="R93" i="6"/>
  <c r="N93" i="6"/>
  <c r="M93" i="6"/>
  <c r="L93" i="6"/>
  <c r="AU92" i="6"/>
  <c r="AT92" i="6"/>
  <c r="AS92" i="6"/>
  <c r="AR92" i="6"/>
  <c r="AQ92" i="6"/>
  <c r="AO92" i="6"/>
  <c r="AN92" i="6"/>
  <c r="AM92" i="6"/>
  <c r="AL92" i="6"/>
  <c r="AK92" i="6"/>
  <c r="AI92" i="6"/>
  <c r="AH92" i="6"/>
  <c r="AG92" i="6"/>
  <c r="AF92" i="6"/>
  <c r="AE92" i="6"/>
  <c r="AC92" i="6"/>
  <c r="AB92" i="6"/>
  <c r="AA92" i="6"/>
  <c r="Z92" i="6"/>
  <c r="Y92" i="6"/>
  <c r="X92" i="6"/>
  <c r="W92" i="6"/>
  <c r="V92" i="6"/>
  <c r="U92" i="6"/>
  <c r="T92" i="6"/>
  <c r="S92" i="6"/>
  <c r="R92" i="6"/>
  <c r="Q92" i="6"/>
  <c r="P92" i="6"/>
  <c r="O92" i="6"/>
  <c r="AU91" i="6"/>
  <c r="AT91" i="6"/>
  <c r="AS91" i="6"/>
  <c r="AR91" i="6"/>
  <c r="AQ91" i="6"/>
  <c r="AP91" i="6"/>
  <c r="AO91" i="6"/>
  <c r="AN91" i="6"/>
  <c r="AL91" i="6"/>
  <c r="AK91" i="6"/>
  <c r="AJ91" i="6"/>
  <c r="AI91" i="6"/>
  <c r="AH91" i="6"/>
  <c r="AG91" i="6"/>
  <c r="AF91" i="6"/>
  <c r="AE91" i="6"/>
  <c r="AD91" i="6"/>
  <c r="AC91" i="6"/>
  <c r="AB91" i="6"/>
  <c r="Z91" i="6"/>
  <c r="Y91" i="6"/>
  <c r="W91" i="6"/>
  <c r="V91" i="6"/>
  <c r="T91" i="6"/>
  <c r="S91" i="6"/>
  <c r="R91" i="6"/>
  <c r="Q91" i="6"/>
  <c r="P91" i="6"/>
  <c r="O91" i="6"/>
  <c r="J91" i="6"/>
  <c r="AM91" i="6" s="1"/>
  <c r="AU90" i="6"/>
  <c r="AT90" i="6"/>
  <c r="AS90" i="6"/>
  <c r="AR90" i="6"/>
  <c r="AQ90" i="6"/>
  <c r="AP90" i="6"/>
  <c r="AO90" i="6"/>
  <c r="AN90" i="6"/>
  <c r="AM90" i="6"/>
  <c r="AL90" i="6"/>
  <c r="AK90" i="6"/>
  <c r="AI90" i="6"/>
  <c r="AH90" i="6"/>
  <c r="AG90" i="6"/>
  <c r="AF90" i="6"/>
  <c r="AE90" i="6"/>
  <c r="AD90" i="6"/>
  <c r="AC90" i="6"/>
  <c r="AB90" i="6"/>
  <c r="AA90" i="6"/>
  <c r="Z90" i="6"/>
  <c r="Y90" i="6"/>
  <c r="X90" i="6"/>
  <c r="W90" i="6"/>
  <c r="V90" i="6"/>
  <c r="U90" i="6"/>
  <c r="T90" i="6"/>
  <c r="S90" i="6"/>
  <c r="R90" i="6"/>
  <c r="Q90" i="6"/>
  <c r="P90" i="6"/>
  <c r="O90" i="6"/>
  <c r="N90" i="6"/>
  <c r="L90" i="6"/>
  <c r="AU89" i="6"/>
  <c r="AS89" i="6"/>
  <c r="AR89" i="6"/>
  <c r="AQ89" i="6"/>
  <c r="AP89" i="6"/>
  <c r="AO89" i="6"/>
  <c r="AN89" i="6"/>
  <c r="AM89" i="6"/>
  <c r="AL89" i="6"/>
  <c r="AK89" i="6"/>
  <c r="AJ89" i="6"/>
  <c r="AI89" i="6"/>
  <c r="AH89" i="6"/>
  <c r="AG89" i="6"/>
  <c r="AF89" i="6"/>
  <c r="AE89" i="6"/>
  <c r="AD89" i="6"/>
  <c r="AC89" i="6"/>
  <c r="AA89" i="6"/>
  <c r="Z89" i="6"/>
  <c r="Y89" i="6"/>
  <c r="X89" i="6"/>
  <c r="W89" i="6"/>
  <c r="V89" i="6"/>
  <c r="U89" i="6"/>
  <c r="T89" i="6"/>
  <c r="S89" i="6"/>
  <c r="R89" i="6"/>
  <c r="P89" i="6"/>
  <c r="O89" i="6"/>
  <c r="N89" i="6"/>
  <c r="M89" i="6"/>
  <c r="L89" i="6"/>
  <c r="J89" i="6"/>
  <c r="AT89" i="6" s="1"/>
  <c r="AU88" i="6"/>
  <c r="AT88" i="6"/>
  <c r="AS88" i="6"/>
  <c r="AR88" i="6"/>
  <c r="AQ88" i="6"/>
  <c r="AP88" i="6"/>
  <c r="AO88" i="6"/>
  <c r="AN88" i="6"/>
  <c r="AM88" i="6"/>
  <c r="AL88" i="6"/>
  <c r="AK88" i="6"/>
  <c r="AJ88" i="6"/>
  <c r="AI88" i="6"/>
  <c r="AH88" i="6"/>
  <c r="AF88" i="6"/>
  <c r="AE88" i="6"/>
  <c r="AD88" i="6"/>
  <c r="AC88" i="6"/>
  <c r="AB88" i="6"/>
  <c r="AA88" i="6"/>
  <c r="Z88" i="6"/>
  <c r="Y88" i="6"/>
  <c r="X88" i="6"/>
  <c r="W88" i="6"/>
  <c r="V88" i="6"/>
  <c r="T88" i="6"/>
  <c r="S88" i="6"/>
  <c r="R88" i="6"/>
  <c r="Q88" i="6"/>
  <c r="P88" i="6"/>
  <c r="O88" i="6"/>
  <c r="N88" i="6"/>
  <c r="M88" i="6"/>
  <c r="J88" i="6"/>
  <c r="AG88" i="6" s="1"/>
  <c r="AU87" i="6"/>
  <c r="AT87" i="6"/>
  <c r="AS87" i="6"/>
  <c r="AR87" i="6"/>
  <c r="AQ87" i="6"/>
  <c r="AP87" i="6"/>
  <c r="AO87" i="6"/>
  <c r="AN87" i="6"/>
  <c r="AM87" i="6"/>
  <c r="AL87" i="6"/>
  <c r="AK87" i="6"/>
  <c r="AJ87" i="6"/>
  <c r="AI87" i="6"/>
  <c r="AG87" i="6"/>
  <c r="AF87" i="6"/>
  <c r="AE87" i="6"/>
  <c r="AD87" i="6"/>
  <c r="AC87" i="6"/>
  <c r="AB87" i="6"/>
  <c r="AA87" i="6"/>
  <c r="Z87" i="6"/>
  <c r="Y87" i="6"/>
  <c r="X87" i="6"/>
  <c r="W87" i="6"/>
  <c r="U87" i="6"/>
  <c r="T87" i="6"/>
  <c r="S87" i="6"/>
  <c r="R87" i="6"/>
  <c r="Q87" i="6"/>
  <c r="P87" i="6"/>
  <c r="N87" i="6"/>
  <c r="M87" i="6"/>
  <c r="L87" i="6"/>
  <c r="AU86" i="6"/>
  <c r="AT86" i="6"/>
  <c r="AS86" i="6"/>
  <c r="AQ86" i="6"/>
  <c r="AP86" i="6"/>
  <c r="AO86" i="6"/>
  <c r="AN86" i="6"/>
  <c r="AM86" i="6"/>
  <c r="AK86" i="6"/>
  <c r="AJ86" i="6"/>
  <c r="AI86" i="6"/>
  <c r="AH86" i="6"/>
  <c r="AG86" i="6"/>
  <c r="AE86" i="6"/>
  <c r="AD86" i="6"/>
  <c r="AC86" i="6"/>
  <c r="AB86" i="6"/>
  <c r="AA86" i="6"/>
  <c r="Z86" i="6"/>
  <c r="Y86" i="6"/>
  <c r="X86" i="6"/>
  <c r="W86" i="6"/>
  <c r="V86" i="6"/>
  <c r="U86" i="6"/>
  <c r="Q86" i="6"/>
  <c r="P86" i="6"/>
  <c r="O86" i="6"/>
  <c r="N86" i="6"/>
  <c r="M86" i="6"/>
  <c r="L86" i="6"/>
  <c r="AT85" i="6"/>
  <c r="AS85" i="6"/>
  <c r="AR85" i="6"/>
  <c r="AQ85" i="6"/>
  <c r="AP85" i="6"/>
  <c r="AO85" i="6"/>
  <c r="AN85" i="6"/>
  <c r="AM85" i="6"/>
  <c r="AL85" i="6"/>
  <c r="AK85" i="6"/>
  <c r="AJ85" i="6"/>
  <c r="AH85" i="6"/>
  <c r="AG85" i="6"/>
  <c r="AF85" i="6"/>
  <c r="AE85" i="6"/>
  <c r="AD85" i="6"/>
  <c r="AB85" i="6"/>
  <c r="AA85" i="6"/>
  <c r="Y85" i="6"/>
  <c r="X85" i="6"/>
  <c r="V85" i="6"/>
  <c r="U85" i="6"/>
  <c r="Q85" i="6"/>
  <c r="P85" i="6"/>
  <c r="O85" i="6"/>
  <c r="N85" i="6"/>
  <c r="M85" i="6"/>
  <c r="L85" i="6"/>
  <c r="J85" i="6"/>
  <c r="AU85" i="6" s="1"/>
  <c r="AU84" i="6"/>
  <c r="AT84" i="6"/>
  <c r="AS84" i="6"/>
  <c r="AR84" i="6"/>
  <c r="AQ84" i="6"/>
  <c r="AP84" i="6"/>
  <c r="AO84" i="6"/>
  <c r="AN84" i="6"/>
  <c r="AM84" i="6"/>
  <c r="AL84" i="6"/>
  <c r="AK84" i="6"/>
  <c r="AI84" i="6"/>
  <c r="AH84" i="6"/>
  <c r="AG84" i="6"/>
  <c r="AF84" i="6"/>
  <c r="AE84" i="6"/>
  <c r="AD84" i="6"/>
  <c r="AC84" i="6"/>
  <c r="AB84" i="6"/>
  <c r="AA84" i="6"/>
  <c r="Z84" i="6"/>
  <c r="Y84" i="6"/>
  <c r="X84" i="6"/>
  <c r="W84" i="6"/>
  <c r="V84" i="6"/>
  <c r="U84" i="6"/>
  <c r="T84" i="6"/>
  <c r="S84" i="6"/>
  <c r="R84" i="6"/>
  <c r="Q84" i="6"/>
  <c r="P84" i="6"/>
  <c r="O84" i="6"/>
  <c r="N84" i="6"/>
  <c r="L84" i="6"/>
  <c r="J84" i="6"/>
  <c r="AJ84" i="6" s="1"/>
  <c r="AU83" i="6"/>
  <c r="AT83" i="6"/>
  <c r="AS83" i="6"/>
  <c r="AR83" i="6"/>
  <c r="AQ83" i="6"/>
  <c r="AP83" i="6"/>
  <c r="AN83" i="6"/>
  <c r="AM83" i="6"/>
  <c r="AL83" i="6"/>
  <c r="AK83" i="6"/>
  <c r="AJ83" i="6"/>
  <c r="AI83" i="6"/>
  <c r="AH83" i="6"/>
  <c r="AG83" i="6"/>
  <c r="AF83" i="6"/>
  <c r="AE83" i="6"/>
  <c r="AD83" i="6"/>
  <c r="AC83" i="6"/>
  <c r="AB83" i="6"/>
  <c r="AA83" i="6"/>
  <c r="Y83" i="6"/>
  <c r="X83" i="6"/>
  <c r="W83" i="6"/>
  <c r="V83" i="6"/>
  <c r="U83" i="6"/>
  <c r="T83" i="6"/>
  <c r="R83" i="6"/>
  <c r="Q83" i="6"/>
  <c r="P83" i="6"/>
  <c r="O83" i="6"/>
  <c r="N83" i="6"/>
  <c r="M83" i="6"/>
  <c r="L83" i="6"/>
  <c r="AU82" i="6"/>
  <c r="AT82" i="6"/>
  <c r="AS82" i="6"/>
  <c r="AQ82" i="6"/>
  <c r="AP82" i="6"/>
  <c r="AO82" i="6"/>
  <c r="AN82" i="6"/>
  <c r="AM82" i="6"/>
  <c r="AK82" i="6"/>
  <c r="AJ82" i="6"/>
  <c r="AI82" i="6"/>
  <c r="AH82" i="6"/>
  <c r="AG82" i="6"/>
  <c r="AE82" i="6"/>
  <c r="AD82" i="6"/>
  <c r="AC82" i="6"/>
  <c r="AB82" i="6"/>
  <c r="AA82" i="6"/>
  <c r="Z82" i="6"/>
  <c r="Y82" i="6"/>
  <c r="X82" i="6"/>
  <c r="W82" i="6"/>
  <c r="V82" i="6"/>
  <c r="U82" i="6"/>
  <c r="Q82" i="6"/>
  <c r="P82" i="6"/>
  <c r="O82" i="6"/>
  <c r="N82" i="6"/>
  <c r="M82" i="6"/>
  <c r="L82" i="6"/>
  <c r="AU81" i="6"/>
  <c r="AT81" i="6"/>
  <c r="AS81" i="6"/>
  <c r="AR81" i="6"/>
  <c r="AQ81" i="6"/>
  <c r="AP81" i="6"/>
  <c r="AO81" i="6"/>
  <c r="AN81" i="6"/>
  <c r="AM81" i="6"/>
  <c r="AL81" i="6"/>
  <c r="AK81" i="6"/>
  <c r="AJ81" i="6"/>
  <c r="AI81" i="6"/>
  <c r="AH81" i="6"/>
  <c r="AG81" i="6"/>
  <c r="AF81" i="6"/>
  <c r="AE81" i="6"/>
  <c r="AD81" i="6"/>
  <c r="AC81" i="6"/>
  <c r="AB81" i="6"/>
  <c r="AA81" i="6"/>
  <c r="Z81" i="6"/>
  <c r="Y81" i="6"/>
  <c r="X81" i="6"/>
  <c r="W81" i="6"/>
  <c r="V81" i="6"/>
  <c r="U81" i="6"/>
  <c r="T81" i="6"/>
  <c r="S81" i="6"/>
  <c r="R81" i="6"/>
  <c r="Q81" i="6"/>
  <c r="O81" i="6"/>
  <c r="N81" i="6"/>
  <c r="M81" i="6"/>
  <c r="L81" i="6"/>
  <c r="J81" i="6"/>
  <c r="AT80" i="6"/>
  <c r="AS80" i="6"/>
  <c r="AR80" i="6"/>
  <c r="AQ80" i="6"/>
  <c r="AP80" i="6"/>
  <c r="AN80" i="6"/>
  <c r="AM80" i="6"/>
  <c r="AL80" i="6"/>
  <c r="AK80" i="6"/>
  <c r="AJ80" i="6"/>
  <c r="AH80" i="6"/>
  <c r="AG80" i="6"/>
  <c r="AF80" i="6"/>
  <c r="AE80" i="6"/>
  <c r="AD80" i="6"/>
  <c r="AB80" i="6"/>
  <c r="AA80" i="6"/>
  <c r="Y80" i="6"/>
  <c r="X80" i="6"/>
  <c r="V80" i="6"/>
  <c r="U80" i="6"/>
  <c r="Q80" i="6"/>
  <c r="P80" i="6"/>
  <c r="O80" i="6"/>
  <c r="N80" i="6"/>
  <c r="M80" i="6"/>
  <c r="L80" i="6"/>
  <c r="AU79" i="6"/>
  <c r="AT79" i="6"/>
  <c r="AS79" i="6"/>
  <c r="AR79" i="6"/>
  <c r="AQ79" i="6"/>
  <c r="AP79" i="6"/>
  <c r="AO79" i="6"/>
  <c r="AN79" i="6"/>
  <c r="AM79" i="6"/>
  <c r="AL79" i="6"/>
  <c r="AK79" i="6"/>
  <c r="AJ79" i="6"/>
  <c r="AI79" i="6"/>
  <c r="AH79" i="6"/>
  <c r="AG79" i="6"/>
  <c r="AF79" i="6"/>
  <c r="AE79" i="6"/>
  <c r="AD79" i="6"/>
  <c r="AC79" i="6"/>
  <c r="AB79" i="6"/>
  <c r="AA79" i="6"/>
  <c r="Y79" i="6"/>
  <c r="X79" i="6"/>
  <c r="W79" i="6"/>
  <c r="V79" i="6"/>
  <c r="U79" i="6"/>
  <c r="T79" i="6"/>
  <c r="R79" i="6"/>
  <c r="Q79" i="6"/>
  <c r="P79" i="6"/>
  <c r="O79" i="6"/>
  <c r="N79" i="6"/>
  <c r="M79" i="6"/>
  <c r="L79" i="6"/>
  <c r="J79" i="6"/>
  <c r="AU78" i="6"/>
  <c r="AT78" i="6"/>
  <c r="AS78" i="6"/>
  <c r="AR78" i="6"/>
  <c r="AP78" i="6"/>
  <c r="AO78" i="6"/>
  <c r="AN78" i="6"/>
  <c r="AM78" i="6"/>
  <c r="AL78" i="6"/>
  <c r="AJ78" i="6"/>
  <c r="AI78" i="6"/>
  <c r="AH78" i="6"/>
  <c r="AG78" i="6"/>
  <c r="AF78" i="6"/>
  <c r="AD78" i="6"/>
  <c r="AC78" i="6"/>
  <c r="AB78" i="6"/>
  <c r="AA78" i="6"/>
  <c r="Z78" i="6"/>
  <c r="Y78" i="6"/>
  <c r="X78" i="6"/>
  <c r="W78" i="6"/>
  <c r="V78" i="6"/>
  <c r="U78" i="6"/>
  <c r="T78" i="6"/>
  <c r="S78" i="6"/>
  <c r="R78" i="6"/>
  <c r="N78" i="6"/>
  <c r="M78" i="6"/>
  <c r="L78" i="6"/>
  <c r="AU77" i="6"/>
  <c r="AT77" i="6"/>
  <c r="AS77" i="6"/>
  <c r="AR77" i="6"/>
  <c r="AP77" i="6"/>
  <c r="AO77" i="6"/>
  <c r="AN77" i="6"/>
  <c r="AM77" i="6"/>
  <c r="AL77" i="6"/>
  <c r="AJ77" i="6"/>
  <c r="AI77" i="6"/>
  <c r="AH77" i="6"/>
  <c r="AG77" i="6"/>
  <c r="AF77" i="6"/>
  <c r="AD77" i="6"/>
  <c r="AC77" i="6"/>
  <c r="AB77" i="6"/>
  <c r="AA77" i="6"/>
  <c r="Z77" i="6"/>
  <c r="Y77" i="6"/>
  <c r="X77" i="6"/>
  <c r="W77" i="6"/>
  <c r="V77" i="6"/>
  <c r="U77" i="6"/>
  <c r="T77" i="6"/>
  <c r="S77" i="6"/>
  <c r="R77" i="6"/>
  <c r="N77" i="6"/>
  <c r="M77" i="6"/>
  <c r="L77" i="6"/>
  <c r="AU76" i="6"/>
  <c r="AT76" i="6"/>
  <c r="AS76" i="6"/>
  <c r="AR76" i="6"/>
  <c r="AQ76" i="6"/>
  <c r="AP76" i="6"/>
  <c r="AO76" i="6"/>
  <c r="AN76" i="6"/>
  <c r="AM76" i="6"/>
  <c r="AL76" i="6"/>
  <c r="AK76" i="6"/>
  <c r="AJ76" i="6"/>
  <c r="AI76" i="6"/>
  <c r="AH76" i="6"/>
  <c r="AG76" i="6"/>
  <c r="AF76" i="6"/>
  <c r="AE76" i="6"/>
  <c r="AC76" i="6"/>
  <c r="AB76" i="6"/>
  <c r="AA76" i="6"/>
  <c r="Z76" i="6"/>
  <c r="Y76" i="6"/>
  <c r="X76" i="6"/>
  <c r="W76" i="6"/>
  <c r="V76" i="6"/>
  <c r="U76" i="6"/>
  <c r="T76" i="6"/>
  <c r="S76" i="6"/>
  <c r="R76" i="6"/>
  <c r="Q76" i="6"/>
  <c r="P76" i="6"/>
  <c r="O76" i="6"/>
  <c r="N76" i="6"/>
  <c r="M76" i="6"/>
  <c r="AU75" i="6"/>
  <c r="AT75" i="6"/>
  <c r="AS75" i="6"/>
  <c r="AR75" i="6"/>
  <c r="AQ75" i="6"/>
  <c r="AP75" i="6"/>
  <c r="AO75" i="6"/>
  <c r="AN75" i="6"/>
  <c r="AM75" i="6"/>
  <c r="AL75" i="6"/>
  <c r="AK75" i="6"/>
  <c r="AJ75" i="6"/>
  <c r="AI75" i="6"/>
  <c r="AH75" i="6"/>
  <c r="AG75" i="6"/>
  <c r="AF75" i="6"/>
  <c r="AE75" i="6"/>
  <c r="AD75" i="6"/>
  <c r="AC75" i="6"/>
  <c r="AB75" i="6"/>
  <c r="AA75" i="6"/>
  <c r="Z75" i="6"/>
  <c r="Y75" i="6"/>
  <c r="X75" i="6"/>
  <c r="W75" i="6"/>
  <c r="V75" i="6"/>
  <c r="U75" i="6"/>
  <c r="T75" i="6"/>
  <c r="S75" i="6"/>
  <c r="R75" i="6"/>
  <c r="Q75" i="6"/>
  <c r="P75" i="6"/>
  <c r="O75" i="6"/>
  <c r="J75" i="6"/>
  <c r="AU74" i="6"/>
  <c r="AT74" i="6"/>
  <c r="AS74" i="6"/>
  <c r="AR74" i="6"/>
  <c r="AQ74" i="6"/>
  <c r="AP74" i="6"/>
  <c r="AO74" i="6"/>
  <c r="AN74" i="6"/>
  <c r="AM74" i="6"/>
  <c r="AL74" i="6"/>
  <c r="AK74" i="6"/>
  <c r="AJ74" i="6"/>
  <c r="AI74" i="6"/>
  <c r="AH74" i="6"/>
  <c r="AG74" i="6"/>
  <c r="AE74" i="6"/>
  <c r="AD74" i="6"/>
  <c r="AC74" i="6"/>
  <c r="AB74" i="6"/>
  <c r="AA74" i="6"/>
  <c r="Z74" i="6"/>
  <c r="Y74" i="6"/>
  <c r="X74" i="6"/>
  <c r="W74" i="6"/>
  <c r="V74" i="6"/>
  <c r="U74" i="6"/>
  <c r="T74" i="6"/>
  <c r="S74" i="6"/>
  <c r="Q74" i="6"/>
  <c r="P74" i="6"/>
  <c r="O74" i="6"/>
  <c r="N74" i="6"/>
  <c r="M74" i="6"/>
  <c r="L74" i="6"/>
  <c r="AU73" i="6"/>
  <c r="AT73" i="6"/>
  <c r="AS73" i="6"/>
  <c r="AQ73" i="6"/>
  <c r="AP73" i="6"/>
  <c r="AO73" i="6"/>
  <c r="AN73" i="6"/>
  <c r="AM73" i="6"/>
  <c r="AK73" i="6"/>
  <c r="AJ73" i="6"/>
  <c r="AI73" i="6"/>
  <c r="AH73" i="6"/>
  <c r="AG73" i="6"/>
  <c r="AE73" i="6"/>
  <c r="AD73" i="6"/>
  <c r="AC73" i="6"/>
  <c r="AB73" i="6"/>
  <c r="AA73" i="6"/>
  <c r="Z73" i="6"/>
  <c r="Y73" i="6"/>
  <c r="X73" i="6"/>
  <c r="W73" i="6"/>
  <c r="V73" i="6"/>
  <c r="U73" i="6"/>
  <c r="Q73" i="6"/>
  <c r="P73" i="6"/>
  <c r="O73" i="6"/>
  <c r="N73" i="6"/>
  <c r="M73" i="6"/>
  <c r="L73" i="6"/>
  <c r="AU72" i="6"/>
  <c r="AT72" i="6"/>
  <c r="AS72" i="6"/>
  <c r="AR72" i="6"/>
  <c r="AP72" i="6"/>
  <c r="AO72" i="6"/>
  <c r="AN72" i="6"/>
  <c r="AM72" i="6"/>
  <c r="AL72" i="6"/>
  <c r="AJ72" i="6"/>
  <c r="AI72" i="6"/>
  <c r="AH72" i="6"/>
  <c r="AG72" i="6"/>
  <c r="AF72" i="6"/>
  <c r="AD72" i="6"/>
  <c r="AC72" i="6"/>
  <c r="AB72" i="6"/>
  <c r="AA72" i="6"/>
  <c r="Z72" i="6"/>
  <c r="Y72" i="6"/>
  <c r="X72" i="6"/>
  <c r="W72" i="6"/>
  <c r="V72" i="6"/>
  <c r="U72" i="6"/>
  <c r="T72" i="6"/>
  <c r="S72" i="6"/>
  <c r="R72" i="6"/>
  <c r="N72" i="6"/>
  <c r="M72" i="6"/>
  <c r="L72" i="6"/>
  <c r="AU71" i="6"/>
  <c r="AT71" i="6"/>
  <c r="AS71" i="6"/>
  <c r="AR71" i="6"/>
  <c r="AQ71" i="6"/>
  <c r="AP71" i="6"/>
  <c r="AO71" i="6"/>
  <c r="AN71" i="6"/>
  <c r="AM71" i="6"/>
  <c r="AL71" i="6"/>
  <c r="AK71" i="6"/>
  <c r="AJ71" i="6"/>
  <c r="AI71" i="6"/>
  <c r="AH71" i="6"/>
  <c r="AG71" i="6"/>
  <c r="AF71" i="6"/>
  <c r="AD71" i="6"/>
  <c r="AC71" i="6"/>
  <c r="AB71" i="6"/>
  <c r="AA71" i="6"/>
  <c r="Z71" i="6"/>
  <c r="Y71" i="6"/>
  <c r="X71" i="6"/>
  <c r="W71" i="6"/>
  <c r="V71" i="6"/>
  <c r="U71" i="6"/>
  <c r="T71" i="6"/>
  <c r="S71" i="6"/>
  <c r="R71" i="6"/>
  <c r="Q71" i="6"/>
  <c r="P71" i="6"/>
  <c r="N71" i="6"/>
  <c r="M71" i="6"/>
  <c r="L71" i="6"/>
  <c r="AU70" i="6"/>
  <c r="AT70" i="6"/>
  <c r="AR70" i="6"/>
  <c r="AQ70" i="6"/>
  <c r="AP70" i="6"/>
  <c r="AO70" i="6"/>
  <c r="AN70" i="6"/>
  <c r="AL70" i="6"/>
  <c r="AK70" i="6"/>
  <c r="AJ70" i="6"/>
  <c r="AI70" i="6"/>
  <c r="AH70" i="6"/>
  <c r="AF70" i="6"/>
  <c r="AE70" i="6"/>
  <c r="AD70" i="6"/>
  <c r="AC70" i="6"/>
  <c r="AB70" i="6"/>
  <c r="Z70" i="6"/>
  <c r="Y70" i="6"/>
  <c r="W70" i="6"/>
  <c r="V70" i="6"/>
  <c r="T70" i="6"/>
  <c r="S70" i="6"/>
  <c r="R70" i="6"/>
  <c r="Q70" i="6"/>
  <c r="P70" i="6"/>
  <c r="O70" i="6"/>
  <c r="AU69" i="6"/>
  <c r="AT69" i="6"/>
  <c r="AS69" i="6"/>
  <c r="AR69" i="6"/>
  <c r="AQ69" i="6"/>
  <c r="AP69" i="6"/>
  <c r="AN69" i="6"/>
  <c r="AM69" i="6"/>
  <c r="AL69" i="6"/>
  <c r="AK69" i="6"/>
  <c r="AJ69" i="6"/>
  <c r="AI69" i="6"/>
  <c r="AH69" i="6"/>
  <c r="AG69" i="6"/>
  <c r="AF69" i="6"/>
  <c r="AE69" i="6"/>
  <c r="AD69" i="6"/>
  <c r="AC69" i="6"/>
  <c r="AB69" i="6"/>
  <c r="AA69" i="6"/>
  <c r="Y69" i="6"/>
  <c r="X69" i="6"/>
  <c r="W69" i="6"/>
  <c r="V69" i="6"/>
  <c r="U69" i="6"/>
  <c r="T69" i="6"/>
  <c r="R69" i="6"/>
  <c r="Q69" i="6"/>
  <c r="P69" i="6"/>
  <c r="O69" i="6"/>
  <c r="N69" i="6"/>
  <c r="M69" i="6"/>
  <c r="L69" i="6"/>
  <c r="AU68" i="6"/>
  <c r="AT68" i="6"/>
  <c r="AS68" i="6"/>
  <c r="AQ68" i="6"/>
  <c r="AP68" i="6"/>
  <c r="AO68" i="6"/>
  <c r="AN68" i="6"/>
  <c r="AM68" i="6"/>
  <c r="AK68" i="6"/>
  <c r="AJ68" i="6"/>
  <c r="AI68" i="6"/>
  <c r="AH68" i="6"/>
  <c r="AG68" i="6"/>
  <c r="AE68" i="6"/>
  <c r="AD68" i="6"/>
  <c r="AC68" i="6"/>
  <c r="AB68" i="6"/>
  <c r="AA68" i="6"/>
  <c r="Z68" i="6"/>
  <c r="Y68" i="6"/>
  <c r="X68" i="6"/>
  <c r="W68" i="6"/>
  <c r="V68" i="6"/>
  <c r="U68" i="6"/>
  <c r="Q68" i="6"/>
  <c r="P68" i="6"/>
  <c r="O68" i="6"/>
  <c r="N68" i="6"/>
  <c r="M68" i="6"/>
  <c r="L68" i="6"/>
  <c r="AU67" i="6"/>
  <c r="AT67" i="6"/>
  <c r="AS67" i="6"/>
  <c r="AR67" i="6"/>
  <c r="AP67" i="6"/>
  <c r="AO67" i="6"/>
  <c r="AN67" i="6"/>
  <c r="AM67" i="6"/>
  <c r="AL67" i="6"/>
  <c r="AJ67" i="6"/>
  <c r="AI67" i="6"/>
  <c r="AH67" i="6"/>
  <c r="AG67" i="6"/>
  <c r="AF67" i="6"/>
  <c r="AD67" i="6"/>
  <c r="AC67" i="6"/>
  <c r="AB67" i="6"/>
  <c r="AA67" i="6"/>
  <c r="Z67" i="6"/>
  <c r="Y67" i="6"/>
  <c r="X67" i="6"/>
  <c r="W67" i="6"/>
  <c r="V67" i="6"/>
  <c r="U67" i="6"/>
  <c r="T67" i="6"/>
  <c r="S67" i="6"/>
  <c r="R67" i="6"/>
  <c r="N67" i="6"/>
  <c r="M67" i="6"/>
  <c r="L67" i="6"/>
  <c r="AU66" i="6"/>
  <c r="AT66" i="6"/>
  <c r="AS66" i="6"/>
  <c r="AQ66" i="6"/>
  <c r="AP66" i="6"/>
  <c r="AO66" i="6"/>
  <c r="AN66" i="6"/>
  <c r="AM66" i="6"/>
  <c r="AK66" i="6"/>
  <c r="AJ66" i="6"/>
  <c r="AI66" i="6"/>
  <c r="AH66" i="6"/>
  <c r="AG66" i="6"/>
  <c r="AE66" i="6"/>
  <c r="AD66" i="6"/>
  <c r="AC66" i="6"/>
  <c r="AB66" i="6"/>
  <c r="AA66" i="6"/>
  <c r="Z66" i="6"/>
  <c r="Y66" i="6"/>
  <c r="X66" i="6"/>
  <c r="W66" i="6"/>
  <c r="V66" i="6"/>
  <c r="U66" i="6"/>
  <c r="Q66" i="6"/>
  <c r="P66" i="6"/>
  <c r="O66" i="6"/>
  <c r="N66" i="6"/>
  <c r="M66" i="6"/>
  <c r="L66" i="6"/>
  <c r="AU65" i="6"/>
  <c r="AT65" i="6"/>
  <c r="AS65" i="6"/>
  <c r="AR65" i="6"/>
  <c r="AP65" i="6"/>
  <c r="AO65" i="6"/>
  <c r="AN65" i="6"/>
  <c r="AM65" i="6"/>
  <c r="AL65" i="6"/>
  <c r="AJ65" i="6"/>
  <c r="AI65" i="6"/>
  <c r="AH65" i="6"/>
  <c r="AG65" i="6"/>
  <c r="AF65" i="6"/>
  <c r="AD65" i="6"/>
  <c r="AC65" i="6"/>
  <c r="AB65" i="6"/>
  <c r="AA65" i="6"/>
  <c r="Z65" i="6"/>
  <c r="Y65" i="6"/>
  <c r="X65" i="6"/>
  <c r="W65" i="6"/>
  <c r="V65" i="6"/>
  <c r="U65" i="6"/>
  <c r="T65" i="6"/>
  <c r="S65" i="6"/>
  <c r="R65" i="6"/>
  <c r="N65" i="6"/>
  <c r="M65" i="6"/>
  <c r="L65" i="6"/>
  <c r="AU64" i="6"/>
  <c r="AT64" i="6"/>
  <c r="AS64" i="6"/>
  <c r="AR64" i="6"/>
  <c r="AQ64" i="6"/>
  <c r="AO64" i="6"/>
  <c r="AN64" i="6"/>
  <c r="AM64" i="6"/>
  <c r="AL64" i="6"/>
  <c r="AK64" i="6"/>
  <c r="AI64" i="6"/>
  <c r="AH64" i="6"/>
  <c r="AG64" i="6"/>
  <c r="AF64" i="6"/>
  <c r="AE64" i="6"/>
  <c r="AC64" i="6"/>
  <c r="AB64" i="6"/>
  <c r="AA64" i="6"/>
  <c r="Z64" i="6"/>
  <c r="Y64" i="6"/>
  <c r="X64" i="6"/>
  <c r="W64" i="6"/>
  <c r="V64" i="6"/>
  <c r="U64" i="6"/>
  <c r="T64" i="6"/>
  <c r="S64" i="6"/>
  <c r="R64" i="6"/>
  <c r="Q64" i="6"/>
  <c r="P64" i="6"/>
  <c r="O64" i="6"/>
  <c r="AT63" i="6"/>
  <c r="AS63" i="6"/>
  <c r="AR63" i="6"/>
  <c r="AQ63" i="6"/>
  <c r="AP63" i="6"/>
  <c r="AN63" i="6"/>
  <c r="AM63" i="6"/>
  <c r="AL63" i="6"/>
  <c r="AK63" i="6"/>
  <c r="AJ63" i="6"/>
  <c r="AH63" i="6"/>
  <c r="AG63" i="6"/>
  <c r="AF63" i="6"/>
  <c r="AE63" i="6"/>
  <c r="AD63" i="6"/>
  <c r="AB63" i="6"/>
  <c r="AA63" i="6"/>
  <c r="Y63" i="6"/>
  <c r="X63" i="6"/>
  <c r="V63" i="6"/>
  <c r="U63" i="6"/>
  <c r="Q63" i="6"/>
  <c r="P63" i="6"/>
  <c r="O63" i="6"/>
  <c r="N63" i="6"/>
  <c r="M63" i="6"/>
  <c r="L63" i="6"/>
  <c r="AU62" i="6"/>
  <c r="AS62" i="6"/>
  <c r="AR62" i="6"/>
  <c r="AQ62" i="6"/>
  <c r="AP62" i="6"/>
  <c r="AO62" i="6"/>
  <c r="AM62" i="6"/>
  <c r="AL62" i="6"/>
  <c r="AK62" i="6"/>
  <c r="AJ62" i="6"/>
  <c r="AI62" i="6"/>
  <c r="AG62" i="6"/>
  <c r="AF62" i="6"/>
  <c r="AE62" i="6"/>
  <c r="AD62" i="6"/>
  <c r="AC62" i="6"/>
  <c r="AA62" i="6"/>
  <c r="Z62" i="6"/>
  <c r="X62" i="6"/>
  <c r="W62" i="6"/>
  <c r="U62" i="6"/>
  <c r="T62" i="6"/>
  <c r="S62" i="6"/>
  <c r="R62" i="6"/>
  <c r="N62" i="6"/>
  <c r="M62" i="6"/>
  <c r="L62" i="6"/>
  <c r="AU61" i="6"/>
  <c r="AT61" i="6"/>
  <c r="AR61" i="6"/>
  <c r="AQ61" i="6"/>
  <c r="AP61" i="6"/>
  <c r="AO61" i="6"/>
  <c r="AN61" i="6"/>
  <c r="AL61" i="6"/>
  <c r="AK61" i="6"/>
  <c r="AJ61" i="6"/>
  <c r="AI61" i="6"/>
  <c r="AH61" i="6"/>
  <c r="AF61" i="6"/>
  <c r="AE61" i="6"/>
  <c r="AD61" i="6"/>
  <c r="AC61" i="6"/>
  <c r="AB61" i="6"/>
  <c r="Z61" i="6"/>
  <c r="Y61" i="6"/>
  <c r="W61" i="6"/>
  <c r="V61" i="6"/>
  <c r="T61" i="6"/>
  <c r="S61" i="6"/>
  <c r="R61" i="6"/>
  <c r="Q61" i="6"/>
  <c r="P61" i="6"/>
  <c r="O61" i="6"/>
  <c r="AU60" i="6"/>
  <c r="AT60" i="6"/>
  <c r="AS60" i="6"/>
  <c r="AR60" i="6"/>
  <c r="AQ60" i="6"/>
  <c r="AO60" i="6"/>
  <c r="AN60" i="6"/>
  <c r="AM60" i="6"/>
  <c r="AL60" i="6"/>
  <c r="AK60" i="6"/>
  <c r="AI60" i="6"/>
  <c r="AH60" i="6"/>
  <c r="AG60" i="6"/>
  <c r="AF60" i="6"/>
  <c r="AE60" i="6"/>
  <c r="AC60" i="6"/>
  <c r="AB60" i="6"/>
  <c r="AA60" i="6"/>
  <c r="Z60" i="6"/>
  <c r="Y60" i="6"/>
  <c r="X60" i="6"/>
  <c r="W60" i="6"/>
  <c r="V60" i="6"/>
  <c r="U60" i="6"/>
  <c r="T60" i="6"/>
  <c r="S60" i="6"/>
  <c r="R60" i="6"/>
  <c r="Q60" i="6"/>
  <c r="P60" i="6"/>
  <c r="O60" i="6"/>
  <c r="AU59" i="6"/>
  <c r="AT59" i="6"/>
  <c r="AS59" i="6"/>
  <c r="AR59" i="6"/>
  <c r="AQ59" i="6"/>
  <c r="AP59" i="6"/>
  <c r="AO59" i="6"/>
  <c r="AN59" i="6"/>
  <c r="AM59" i="6"/>
  <c r="AL59" i="6"/>
  <c r="AJ59" i="6"/>
  <c r="AI59" i="6"/>
  <c r="AH59" i="6"/>
  <c r="AG59" i="6"/>
  <c r="AF59" i="6"/>
  <c r="AE59" i="6"/>
  <c r="AD59" i="6"/>
  <c r="AC59" i="6"/>
  <c r="AB59" i="6"/>
  <c r="AA59" i="6"/>
  <c r="Z59" i="6"/>
  <c r="Y59" i="6"/>
  <c r="X59" i="6"/>
  <c r="W59" i="6"/>
  <c r="V59" i="6"/>
  <c r="U59" i="6"/>
  <c r="T59" i="6"/>
  <c r="S59" i="6"/>
  <c r="R59" i="6"/>
  <c r="Q59" i="6"/>
  <c r="O59" i="6"/>
  <c r="N59" i="6"/>
  <c r="M59" i="6"/>
  <c r="L59" i="6"/>
  <c r="AU58" i="6"/>
  <c r="AT58" i="6"/>
  <c r="AS58" i="6"/>
  <c r="AR58" i="6"/>
  <c r="AQ58" i="6"/>
  <c r="AP58" i="6"/>
  <c r="AO58" i="6"/>
  <c r="AN58" i="6"/>
  <c r="AM58" i="6"/>
  <c r="AL58" i="6"/>
  <c r="AJ58" i="6"/>
  <c r="AI58" i="6"/>
  <c r="AH58" i="6"/>
  <c r="AG58" i="6"/>
  <c r="AF58" i="6"/>
  <c r="AE58" i="6"/>
  <c r="AD58" i="6"/>
  <c r="AC58" i="6"/>
  <c r="AB58" i="6"/>
  <c r="AA58" i="6"/>
  <c r="Z58" i="6"/>
  <c r="Y58" i="6"/>
  <c r="X58" i="6"/>
  <c r="W58" i="6"/>
  <c r="V58" i="6"/>
  <c r="U58" i="6"/>
  <c r="T58" i="6"/>
  <c r="S58" i="6"/>
  <c r="R58" i="6"/>
  <c r="Q58" i="6"/>
  <c r="O58" i="6"/>
  <c r="N58" i="6"/>
  <c r="M58" i="6"/>
  <c r="L58" i="6"/>
  <c r="J58" i="6"/>
  <c r="AK58" i="6" s="1"/>
  <c r="AU57" i="6"/>
  <c r="AT57" i="6"/>
  <c r="AS57" i="6"/>
  <c r="AR57" i="6"/>
  <c r="AQ57" i="6"/>
  <c r="AP57" i="6"/>
  <c r="AO57" i="6"/>
  <c r="AN57" i="6"/>
  <c r="AM57" i="6"/>
  <c r="AL57" i="6"/>
  <c r="AK57" i="6"/>
  <c r="AJ57" i="6"/>
  <c r="AI57" i="6"/>
  <c r="AH57" i="6"/>
  <c r="AF57" i="6"/>
  <c r="AE57" i="6"/>
  <c r="AD57" i="6"/>
  <c r="AC57" i="6"/>
  <c r="AB57" i="6"/>
  <c r="AA57" i="6"/>
  <c r="Z57" i="6"/>
  <c r="Y57" i="6"/>
  <c r="X57" i="6"/>
  <c r="W57" i="6"/>
  <c r="V57" i="6"/>
  <c r="T57" i="6"/>
  <c r="S57" i="6"/>
  <c r="R57" i="6"/>
  <c r="Q57" i="6"/>
  <c r="P57" i="6"/>
  <c r="O57" i="6"/>
  <c r="N57" i="6"/>
  <c r="M57" i="6"/>
  <c r="AU56" i="6"/>
  <c r="AT56" i="6"/>
  <c r="AS56" i="6"/>
  <c r="AR56" i="6"/>
  <c r="AQ56" i="6"/>
  <c r="AP56" i="6"/>
  <c r="AO56" i="6"/>
  <c r="AN56" i="6"/>
  <c r="AM56" i="6"/>
  <c r="AL56" i="6"/>
  <c r="AK56" i="6"/>
  <c r="AJ56" i="6"/>
  <c r="AI56" i="6"/>
  <c r="AH56" i="6"/>
  <c r="AG56" i="6"/>
  <c r="AF56" i="6"/>
  <c r="AE56" i="6"/>
  <c r="AD56" i="6"/>
  <c r="AC56" i="6"/>
  <c r="AB56" i="6"/>
  <c r="AA56" i="6"/>
  <c r="Z56" i="6"/>
  <c r="Y56" i="6"/>
  <c r="X56" i="6"/>
  <c r="W56" i="6"/>
  <c r="V56" i="6"/>
  <c r="U56" i="6"/>
  <c r="S56" i="6"/>
  <c r="R56" i="6"/>
  <c r="Q56" i="6"/>
  <c r="P56" i="6"/>
  <c r="O56" i="6"/>
  <c r="N56" i="6"/>
  <c r="M56" i="6"/>
  <c r="L56" i="6"/>
  <c r="J56"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L55" i="6"/>
  <c r="J55" i="6"/>
  <c r="AU54" i="6"/>
  <c r="AT54" i="6"/>
  <c r="AS54" i="6"/>
  <c r="AR54" i="6"/>
  <c r="AQ54" i="6"/>
  <c r="AP54" i="6"/>
  <c r="AO54" i="6"/>
  <c r="AN54" i="6"/>
  <c r="AM54" i="6"/>
  <c r="AL54" i="6"/>
  <c r="AK54" i="6"/>
  <c r="AJ54" i="6"/>
  <c r="AI54" i="6"/>
  <c r="AH54" i="6"/>
  <c r="AG54" i="6"/>
  <c r="AF54" i="6"/>
  <c r="AD54" i="6"/>
  <c r="AC54" i="6"/>
  <c r="AB54" i="6"/>
  <c r="AA54" i="6"/>
  <c r="Z54" i="6"/>
  <c r="Y54" i="6"/>
  <c r="X54" i="6"/>
  <c r="W54" i="6"/>
  <c r="V54" i="6"/>
  <c r="U54" i="6"/>
  <c r="T54" i="6"/>
  <c r="S54" i="6"/>
  <c r="R54" i="6"/>
  <c r="Q54" i="6"/>
  <c r="P54" i="6"/>
  <c r="N54" i="6"/>
  <c r="M54" i="6"/>
  <c r="L54" i="6"/>
  <c r="AU53" i="6"/>
  <c r="AT53" i="6"/>
  <c r="AS53" i="6"/>
  <c r="AR53" i="6"/>
  <c r="AQ53" i="6"/>
  <c r="AP53" i="6"/>
  <c r="AO53" i="6"/>
  <c r="AM53" i="6"/>
  <c r="AL53" i="6"/>
  <c r="AK53" i="6"/>
  <c r="AJ53" i="6"/>
  <c r="AI53" i="6"/>
  <c r="AH53" i="6"/>
  <c r="AG53" i="6"/>
  <c r="AF53" i="6"/>
  <c r="AE53" i="6"/>
  <c r="AD53" i="6"/>
  <c r="AC53" i="6"/>
  <c r="AB53" i="6"/>
  <c r="AA53" i="6"/>
  <c r="Z53" i="6"/>
  <c r="X53" i="6"/>
  <c r="W53" i="6"/>
  <c r="V53" i="6"/>
  <c r="U53" i="6"/>
  <c r="T53" i="6"/>
  <c r="S53" i="6"/>
  <c r="R53" i="6"/>
  <c r="Q53" i="6"/>
  <c r="O53" i="6"/>
  <c r="N53" i="6"/>
  <c r="M53" i="6"/>
  <c r="L53" i="6"/>
  <c r="AU52" i="6"/>
  <c r="AT52" i="6"/>
  <c r="AS52" i="6"/>
  <c r="AR52" i="6"/>
  <c r="AQ52" i="6"/>
  <c r="AP52" i="6"/>
  <c r="AO52" i="6"/>
  <c r="AN52" i="6"/>
  <c r="AM52" i="6"/>
  <c r="AL52" i="6"/>
  <c r="AK52" i="6"/>
  <c r="AI52" i="6"/>
  <c r="AH52" i="6"/>
  <c r="AG52" i="6"/>
  <c r="AF52" i="6"/>
  <c r="AE52" i="6"/>
  <c r="AD52" i="6"/>
  <c r="AC52" i="6"/>
  <c r="AB52" i="6"/>
  <c r="AA52" i="6"/>
  <c r="Z52" i="6"/>
  <c r="Y52" i="6"/>
  <c r="X52" i="6"/>
  <c r="W52" i="6"/>
  <c r="V52" i="6"/>
  <c r="U52" i="6"/>
  <c r="T52" i="6"/>
  <c r="S52" i="6"/>
  <c r="R52" i="6"/>
  <c r="Q52" i="6"/>
  <c r="P52" i="6"/>
  <c r="O52" i="6"/>
  <c r="N52" i="6"/>
  <c r="L52" i="6"/>
  <c r="AU51" i="6"/>
  <c r="AT51" i="6"/>
  <c r="AS51" i="6"/>
  <c r="AR51" i="6"/>
  <c r="AQ51" i="6"/>
  <c r="AO51" i="6"/>
  <c r="AN51" i="6"/>
  <c r="AM51" i="6"/>
  <c r="AL51" i="6"/>
  <c r="AK51" i="6"/>
  <c r="AI51" i="6"/>
  <c r="AH51" i="6"/>
  <c r="AG51" i="6"/>
  <c r="AF51" i="6"/>
  <c r="AE51" i="6"/>
  <c r="AC51" i="6"/>
  <c r="AB51" i="6"/>
  <c r="AA51" i="6"/>
  <c r="Z51" i="6"/>
  <c r="Y51" i="6"/>
  <c r="X51" i="6"/>
  <c r="W51" i="6"/>
  <c r="V51" i="6"/>
  <c r="U51" i="6"/>
  <c r="T51" i="6"/>
  <c r="S51" i="6"/>
  <c r="R51" i="6"/>
  <c r="Q51" i="6"/>
  <c r="P51" i="6"/>
  <c r="O51" i="6"/>
  <c r="AU50" i="6"/>
  <c r="AT50" i="6"/>
  <c r="AS50" i="6"/>
  <c r="AR50" i="6"/>
  <c r="AQ50" i="6"/>
  <c r="AP50" i="6"/>
  <c r="AO50" i="6"/>
  <c r="AN50" i="6"/>
  <c r="AM50" i="6"/>
  <c r="AK50" i="6"/>
  <c r="AJ50" i="6"/>
  <c r="AI50" i="6"/>
  <c r="AH50" i="6"/>
  <c r="AG50" i="6"/>
  <c r="AF50" i="6"/>
  <c r="AE50" i="6"/>
  <c r="AD50" i="6"/>
  <c r="AC50" i="6"/>
  <c r="AB50" i="6"/>
  <c r="AA50" i="6"/>
  <c r="Z50" i="6"/>
  <c r="Y50" i="6"/>
  <c r="X50" i="6"/>
  <c r="W50" i="6"/>
  <c r="V50" i="6"/>
  <c r="U50" i="6"/>
  <c r="T50" i="6"/>
  <c r="R50" i="6"/>
  <c r="Q50" i="6"/>
  <c r="P50" i="6"/>
  <c r="O50" i="6"/>
  <c r="N50" i="6"/>
  <c r="M50" i="6"/>
  <c r="L50" i="6"/>
  <c r="AU49" i="6"/>
  <c r="AS49" i="6"/>
  <c r="AR49" i="6"/>
  <c r="AQ49" i="6"/>
  <c r="AP49" i="6"/>
  <c r="AO49" i="6"/>
  <c r="AM49" i="6"/>
  <c r="AL49" i="6"/>
  <c r="AK49" i="6"/>
  <c r="AJ49" i="6"/>
  <c r="AI49" i="6"/>
  <c r="AG49" i="6"/>
  <c r="AF49" i="6"/>
  <c r="AE49" i="6"/>
  <c r="AD49" i="6"/>
  <c r="AC49" i="6"/>
  <c r="AA49" i="6"/>
  <c r="Z49" i="6"/>
  <c r="X49" i="6"/>
  <c r="W49" i="6"/>
  <c r="U49" i="6"/>
  <c r="T49" i="6"/>
  <c r="S49" i="6"/>
  <c r="R49" i="6"/>
  <c r="N49" i="6"/>
  <c r="M49" i="6"/>
  <c r="L49" i="6"/>
  <c r="AU48" i="6"/>
  <c r="AT48" i="6"/>
  <c r="AS48" i="6"/>
  <c r="AR48" i="6"/>
  <c r="AQ48" i="6"/>
  <c r="AP48" i="6"/>
  <c r="AO48" i="6"/>
  <c r="AN48" i="6"/>
  <c r="AM48" i="6"/>
  <c r="AK48" i="6"/>
  <c r="AJ48" i="6"/>
  <c r="AI48" i="6"/>
  <c r="AH48" i="6"/>
  <c r="AG48" i="6"/>
  <c r="AF48" i="6"/>
  <c r="AE48" i="6"/>
  <c r="AD48" i="6"/>
  <c r="AC48" i="6"/>
  <c r="AB48" i="6"/>
  <c r="AA48" i="6"/>
  <c r="Z48" i="6"/>
  <c r="Y48" i="6"/>
  <c r="X48" i="6"/>
  <c r="W48" i="6"/>
  <c r="V48" i="6"/>
  <c r="U48" i="6"/>
  <c r="T48" i="6"/>
  <c r="R48" i="6"/>
  <c r="Q48" i="6"/>
  <c r="P48" i="6"/>
  <c r="O48" i="6"/>
  <c r="N48" i="6"/>
  <c r="M48" i="6"/>
  <c r="L48" i="6"/>
  <c r="AU47" i="6"/>
  <c r="AS47" i="6"/>
  <c r="AR47" i="6"/>
  <c r="AQ47" i="6"/>
  <c r="AP47" i="6"/>
  <c r="AO47" i="6"/>
  <c r="AN47" i="6"/>
  <c r="AM47" i="6"/>
  <c r="AL47" i="6"/>
  <c r="AK47" i="6"/>
  <c r="AJ47" i="6"/>
  <c r="AI47" i="6"/>
  <c r="AH47" i="6"/>
  <c r="AG47" i="6"/>
  <c r="AF47" i="6"/>
  <c r="AE47" i="6"/>
  <c r="AD47" i="6"/>
  <c r="AC47" i="6"/>
  <c r="AA47" i="6"/>
  <c r="Z47" i="6"/>
  <c r="Y47" i="6"/>
  <c r="X47" i="6"/>
  <c r="W47" i="6"/>
  <c r="V47" i="6"/>
  <c r="U47" i="6"/>
  <c r="T47" i="6"/>
  <c r="S47" i="6"/>
  <c r="R47" i="6"/>
  <c r="P47" i="6"/>
  <c r="O47" i="6"/>
  <c r="N47" i="6"/>
  <c r="M47" i="6"/>
  <c r="L47" i="6"/>
  <c r="AU46" i="6"/>
  <c r="AT46" i="6"/>
  <c r="AS46" i="6"/>
  <c r="AR46" i="6"/>
  <c r="AQ46" i="6"/>
  <c r="AP46" i="6"/>
  <c r="AO46" i="6"/>
  <c r="AN46" i="6"/>
  <c r="AM46" i="6"/>
  <c r="AL46" i="6"/>
  <c r="AK46" i="6"/>
  <c r="AJ46" i="6"/>
  <c r="AI46" i="6"/>
  <c r="AG46" i="6"/>
  <c r="AF46" i="6"/>
  <c r="AE46" i="6"/>
  <c r="AD46" i="6"/>
  <c r="AC46" i="6"/>
  <c r="AB46" i="6"/>
  <c r="AA46" i="6"/>
  <c r="Z46" i="6"/>
  <c r="Y46" i="6"/>
  <c r="X46" i="6"/>
  <c r="W46" i="6"/>
  <c r="U46" i="6"/>
  <c r="T46" i="6"/>
  <c r="S46" i="6"/>
  <c r="R46" i="6"/>
  <c r="Q46" i="6"/>
  <c r="P46" i="6"/>
  <c r="N46" i="6"/>
  <c r="M46" i="6"/>
  <c r="L46" i="6"/>
  <c r="AU45" i="6"/>
  <c r="AT45" i="6"/>
  <c r="AS45" i="6"/>
  <c r="AR45" i="6"/>
  <c r="AQ45" i="6"/>
  <c r="AO45" i="6"/>
  <c r="AN45" i="6"/>
  <c r="AM45" i="6"/>
  <c r="AL45" i="6"/>
  <c r="AK45" i="6"/>
  <c r="AI45" i="6"/>
  <c r="AH45" i="6"/>
  <c r="AG45" i="6"/>
  <c r="AF45" i="6"/>
  <c r="AE45" i="6"/>
  <c r="AC45" i="6"/>
  <c r="AB45" i="6"/>
  <c r="AA45" i="6"/>
  <c r="Z45" i="6"/>
  <c r="Y45" i="6"/>
  <c r="X45" i="6"/>
  <c r="W45" i="6"/>
  <c r="V45" i="6"/>
  <c r="U45" i="6"/>
  <c r="T45" i="6"/>
  <c r="S45" i="6"/>
  <c r="R45" i="6"/>
  <c r="Q45" i="6"/>
  <c r="P45" i="6"/>
  <c r="O45" i="6"/>
  <c r="AU44" i="6"/>
  <c r="AT44" i="6"/>
  <c r="AS44" i="6"/>
  <c r="AR44" i="6"/>
  <c r="AQ44" i="6"/>
  <c r="AP44" i="6"/>
  <c r="AO44" i="6"/>
  <c r="AN44" i="6"/>
  <c r="AM44" i="6"/>
  <c r="AL44" i="6"/>
  <c r="AK44" i="6"/>
  <c r="AJ44" i="6"/>
  <c r="AI44" i="6"/>
  <c r="AH44" i="6"/>
  <c r="AG44" i="6"/>
  <c r="AF44" i="6"/>
  <c r="AE44" i="6"/>
  <c r="AC44" i="6"/>
  <c r="AB44" i="6"/>
  <c r="AA44" i="6"/>
  <c r="Z44" i="6"/>
  <c r="Y44" i="6"/>
  <c r="X44" i="6"/>
  <c r="W44" i="6"/>
  <c r="V44" i="6"/>
  <c r="U44" i="6"/>
  <c r="T44" i="6"/>
  <c r="S44" i="6"/>
  <c r="R44" i="6"/>
  <c r="Q44" i="6"/>
  <c r="P44" i="6"/>
  <c r="O44" i="6"/>
  <c r="N44" i="6"/>
  <c r="M44" i="6"/>
  <c r="AU43" i="6"/>
  <c r="AT43" i="6"/>
  <c r="AR43" i="6"/>
  <c r="AQ43" i="6"/>
  <c r="AP43" i="6"/>
  <c r="AO43" i="6"/>
  <c r="AN43" i="6"/>
  <c r="AL43" i="6"/>
  <c r="AK43" i="6"/>
  <c r="AJ43" i="6"/>
  <c r="AI43" i="6"/>
  <c r="AH43" i="6"/>
  <c r="AF43" i="6"/>
  <c r="AE43" i="6"/>
  <c r="AD43" i="6"/>
  <c r="AC43" i="6"/>
  <c r="AB43" i="6"/>
  <c r="Z43" i="6"/>
  <c r="Y43" i="6"/>
  <c r="W43" i="6"/>
  <c r="V43" i="6"/>
  <c r="T43" i="6"/>
  <c r="S43" i="6"/>
  <c r="R43" i="6"/>
  <c r="Q43" i="6"/>
  <c r="P43" i="6"/>
  <c r="O43" i="6"/>
  <c r="AU42" i="6"/>
  <c r="AT42" i="6"/>
  <c r="AS42" i="6"/>
  <c r="AQ42" i="6"/>
  <c r="AP42" i="6"/>
  <c r="AO42" i="6"/>
  <c r="AN42" i="6"/>
  <c r="AM42" i="6"/>
  <c r="AK42" i="6"/>
  <c r="AJ42" i="6"/>
  <c r="AI42" i="6"/>
  <c r="AH42" i="6"/>
  <c r="AG42" i="6"/>
  <c r="AE42" i="6"/>
  <c r="AD42" i="6"/>
  <c r="AC42" i="6"/>
  <c r="AB42" i="6"/>
  <c r="AA42" i="6"/>
  <c r="Z42" i="6"/>
  <c r="Y42" i="6"/>
  <c r="X42" i="6"/>
  <c r="W42" i="6"/>
  <c r="V42" i="6"/>
  <c r="U42" i="6"/>
  <c r="Q42" i="6"/>
  <c r="P42" i="6"/>
  <c r="O42" i="6"/>
  <c r="N42" i="6"/>
  <c r="M42" i="6"/>
  <c r="L42" i="6"/>
  <c r="AT41" i="6"/>
  <c r="AS41" i="6"/>
  <c r="AR41" i="6"/>
  <c r="AQ41" i="6"/>
  <c r="AP41" i="6"/>
  <c r="AO41" i="6"/>
  <c r="AN41" i="6"/>
  <c r="AM41" i="6"/>
  <c r="AL41" i="6"/>
  <c r="AK41" i="6"/>
  <c r="AJ41" i="6"/>
  <c r="AI41" i="6"/>
  <c r="AH41" i="6"/>
  <c r="AG41" i="6"/>
  <c r="AF41" i="6"/>
  <c r="AE41" i="6"/>
  <c r="AD41" i="6"/>
  <c r="AB41" i="6"/>
  <c r="AA41" i="6"/>
  <c r="Z41" i="6"/>
  <c r="Y41" i="6"/>
  <c r="X41" i="6"/>
  <c r="W41" i="6"/>
  <c r="V41" i="6"/>
  <c r="U41" i="6"/>
  <c r="S41" i="6"/>
  <c r="R41" i="6"/>
  <c r="Q41" i="6"/>
  <c r="P41" i="6"/>
  <c r="O41" i="6"/>
  <c r="N41" i="6"/>
  <c r="M41" i="6"/>
  <c r="L41" i="6"/>
  <c r="AU40" i="6"/>
  <c r="AT40" i="6"/>
  <c r="AS40" i="6"/>
  <c r="AR40" i="6"/>
  <c r="AQ40" i="6"/>
  <c r="AP40" i="6"/>
  <c r="AO40" i="6"/>
  <c r="AN40" i="6"/>
  <c r="AM40" i="6"/>
  <c r="AK40" i="6"/>
  <c r="AJ40" i="6"/>
  <c r="AI40" i="6"/>
  <c r="AH40" i="6"/>
  <c r="AG40" i="6"/>
  <c r="AF40" i="6"/>
  <c r="AE40" i="6"/>
  <c r="AD40" i="6"/>
  <c r="AC40" i="6"/>
  <c r="AB40" i="6"/>
  <c r="AA40" i="6"/>
  <c r="Z40" i="6"/>
  <c r="Y40" i="6"/>
  <c r="X40" i="6"/>
  <c r="W40" i="6"/>
  <c r="V40" i="6"/>
  <c r="U40" i="6"/>
  <c r="T40" i="6"/>
  <c r="R40" i="6"/>
  <c r="Q40" i="6"/>
  <c r="P40" i="6"/>
  <c r="O40" i="6"/>
  <c r="N40" i="6"/>
  <c r="M40" i="6"/>
  <c r="L40" i="6"/>
  <c r="AU39" i="6"/>
  <c r="AT39" i="6"/>
  <c r="AS39" i="6"/>
  <c r="AR39" i="6"/>
  <c r="AQ39" i="6"/>
  <c r="AP39" i="6"/>
  <c r="AO39" i="6"/>
  <c r="AM39" i="6"/>
  <c r="AL39" i="6"/>
  <c r="AK39" i="6"/>
  <c r="AJ39" i="6"/>
  <c r="AI39" i="6"/>
  <c r="AH39" i="6"/>
  <c r="AG39" i="6"/>
  <c r="AF39" i="6"/>
  <c r="AE39" i="6"/>
  <c r="AD39" i="6"/>
  <c r="AC39" i="6"/>
  <c r="AB39" i="6"/>
  <c r="AA39" i="6"/>
  <c r="Z39" i="6"/>
  <c r="X39" i="6"/>
  <c r="W39" i="6"/>
  <c r="V39" i="6"/>
  <c r="U39" i="6"/>
  <c r="T39" i="6"/>
  <c r="S39" i="6"/>
  <c r="R39" i="6"/>
  <c r="Q39" i="6"/>
  <c r="O39" i="6"/>
  <c r="N39" i="6"/>
  <c r="M39" i="6"/>
  <c r="L39" i="6"/>
  <c r="AU38" i="6"/>
  <c r="AT38" i="6"/>
  <c r="AS38" i="6"/>
  <c r="AR38" i="6"/>
  <c r="AP38" i="6"/>
  <c r="AO38" i="6"/>
  <c r="AN38" i="6"/>
  <c r="AM38" i="6"/>
  <c r="AL38" i="6"/>
  <c r="AJ38" i="6"/>
  <c r="AI38" i="6"/>
  <c r="AH38" i="6"/>
  <c r="AG38" i="6"/>
  <c r="AF38" i="6"/>
  <c r="AD38" i="6"/>
  <c r="AC38" i="6"/>
  <c r="AB38" i="6"/>
  <c r="AA38" i="6"/>
  <c r="Z38" i="6"/>
  <c r="Y38" i="6"/>
  <c r="X38" i="6"/>
  <c r="W38" i="6"/>
  <c r="V38" i="6"/>
  <c r="U38" i="6"/>
  <c r="T38" i="6"/>
  <c r="S38" i="6"/>
  <c r="R38" i="6"/>
  <c r="N38" i="6"/>
  <c r="M38" i="6"/>
  <c r="L38" i="6"/>
  <c r="AU37" i="6"/>
  <c r="AT37" i="6"/>
  <c r="AR37" i="6"/>
  <c r="AQ37" i="6"/>
  <c r="AP37" i="6"/>
  <c r="AO37" i="6"/>
  <c r="AN37" i="6"/>
  <c r="AM37" i="6"/>
  <c r="AL37" i="6"/>
  <c r="AK37" i="6"/>
  <c r="AJ37" i="6"/>
  <c r="AI37" i="6"/>
  <c r="AH37" i="6"/>
  <c r="AG37" i="6"/>
  <c r="AF37" i="6"/>
  <c r="AE37" i="6"/>
  <c r="AD37" i="6"/>
  <c r="AC37" i="6"/>
  <c r="AB37" i="6"/>
  <c r="Z37" i="6"/>
  <c r="Y37" i="6"/>
  <c r="X37" i="6"/>
  <c r="W37" i="6"/>
  <c r="V37" i="6"/>
  <c r="U37" i="6"/>
  <c r="T37" i="6"/>
  <c r="S37" i="6"/>
  <c r="R37" i="6"/>
  <c r="Q37" i="6"/>
  <c r="P37" i="6"/>
  <c r="O37" i="6"/>
  <c r="M37" i="6"/>
  <c r="L37" i="6"/>
  <c r="AU36" i="6"/>
  <c r="AT36" i="6"/>
  <c r="AS36" i="6"/>
  <c r="AR36" i="6"/>
  <c r="AP36" i="6"/>
  <c r="AO36" i="6"/>
  <c r="AN36" i="6"/>
  <c r="AM36" i="6"/>
  <c r="AL36" i="6"/>
  <c r="AJ36" i="6"/>
  <c r="AI36" i="6"/>
  <c r="AH36" i="6"/>
  <c r="AG36" i="6"/>
  <c r="AF36" i="6"/>
  <c r="AE36" i="6"/>
  <c r="AD36" i="6"/>
  <c r="AC36" i="6"/>
  <c r="AB36" i="6"/>
  <c r="AA36" i="6"/>
  <c r="Z36" i="6"/>
  <c r="Y36" i="6"/>
  <c r="X36" i="6"/>
  <c r="W36" i="6"/>
  <c r="V36" i="6"/>
  <c r="U36" i="6"/>
  <c r="T36" i="6"/>
  <c r="S36" i="6"/>
  <c r="R36" i="6"/>
  <c r="N36" i="6"/>
  <c r="M36" i="6"/>
  <c r="L36" i="6"/>
  <c r="J36" i="6"/>
  <c r="AU35" i="6"/>
  <c r="AT35" i="6"/>
  <c r="AS35" i="6"/>
  <c r="AR35" i="6"/>
  <c r="AQ35" i="6"/>
  <c r="AO35" i="6"/>
  <c r="AN35" i="6"/>
  <c r="AM35" i="6"/>
  <c r="AL35" i="6"/>
  <c r="AK35" i="6"/>
  <c r="AJ35" i="6"/>
  <c r="AI35" i="6"/>
  <c r="AH35" i="6"/>
  <c r="AG35" i="6"/>
  <c r="AF35" i="6"/>
  <c r="AE35" i="6"/>
  <c r="AC35" i="6"/>
  <c r="AB35" i="6"/>
  <c r="AA35" i="6"/>
  <c r="Z35" i="6"/>
  <c r="Y35" i="6"/>
  <c r="X35" i="6"/>
  <c r="W35" i="6"/>
  <c r="V35" i="6"/>
  <c r="U35" i="6"/>
  <c r="T35" i="6"/>
  <c r="S35" i="6"/>
  <c r="R35" i="6"/>
  <c r="Q35" i="6"/>
  <c r="P35" i="6"/>
  <c r="O35" i="6"/>
  <c r="J35" i="6"/>
  <c r="AU34" i="6"/>
  <c r="AS34" i="6"/>
  <c r="AR34" i="6"/>
  <c r="AQ34" i="6"/>
  <c r="AP34" i="6"/>
  <c r="AO34" i="6"/>
  <c r="AM34" i="6"/>
  <c r="AL34" i="6"/>
  <c r="AK34" i="6"/>
  <c r="AJ34" i="6"/>
  <c r="AI34" i="6"/>
  <c r="AG34" i="6"/>
  <c r="AF34" i="6"/>
  <c r="AE34" i="6"/>
  <c r="AD34" i="6"/>
  <c r="AC34" i="6"/>
  <c r="AA34" i="6"/>
  <c r="Z34" i="6"/>
  <c r="X34" i="6"/>
  <c r="W34" i="6"/>
  <c r="U34" i="6"/>
  <c r="T34" i="6"/>
  <c r="S34" i="6"/>
  <c r="R34" i="6"/>
  <c r="N34" i="6"/>
  <c r="M34" i="6"/>
  <c r="L34" i="6"/>
  <c r="AU33" i="6"/>
  <c r="AT33" i="6"/>
  <c r="AS33" i="6"/>
  <c r="AR33" i="6"/>
  <c r="AQ33" i="6"/>
  <c r="AP33" i="6"/>
  <c r="AO33" i="6"/>
  <c r="AM33" i="6"/>
  <c r="AL33" i="6"/>
  <c r="AK33" i="6"/>
  <c r="AJ33" i="6"/>
  <c r="AI33" i="6"/>
  <c r="AH33" i="6"/>
  <c r="AG33" i="6"/>
  <c r="AF33" i="6"/>
  <c r="AE33" i="6"/>
  <c r="AD33" i="6"/>
  <c r="AC33" i="6"/>
  <c r="AB33" i="6"/>
  <c r="AA33" i="6"/>
  <c r="Z33" i="6"/>
  <c r="X33" i="6"/>
  <c r="W33" i="6"/>
  <c r="V33" i="6"/>
  <c r="U33" i="6"/>
  <c r="T33" i="6"/>
  <c r="S33" i="6"/>
  <c r="R33" i="6"/>
  <c r="Q33" i="6"/>
  <c r="O33" i="6"/>
  <c r="N33" i="6"/>
  <c r="M33" i="6"/>
  <c r="L33" i="6"/>
  <c r="AU32" i="6"/>
  <c r="AT32" i="6"/>
  <c r="AS32" i="6"/>
  <c r="AR32" i="6"/>
  <c r="AQ32" i="6"/>
  <c r="AP32" i="6"/>
  <c r="AO32" i="6"/>
  <c r="AN32" i="6"/>
  <c r="AM32" i="6"/>
  <c r="AL32" i="6"/>
  <c r="AK32" i="6"/>
  <c r="AJ32" i="6"/>
  <c r="AI32" i="6"/>
  <c r="AH32" i="6"/>
  <c r="AG32" i="6"/>
  <c r="AF32" i="6"/>
  <c r="AE32" i="6"/>
  <c r="AC32" i="6"/>
  <c r="AB32" i="6"/>
  <c r="AA32" i="6"/>
  <c r="Z32" i="6"/>
  <c r="Y32" i="6"/>
  <c r="X32" i="6"/>
  <c r="W32" i="6"/>
  <c r="V32" i="6"/>
  <c r="U32" i="6"/>
  <c r="T32" i="6"/>
  <c r="S32" i="6"/>
  <c r="R32" i="6"/>
  <c r="Q32" i="6"/>
  <c r="P32" i="6"/>
  <c r="O32" i="6"/>
  <c r="N32" i="6"/>
  <c r="M32" i="6"/>
  <c r="AU31" i="6"/>
  <c r="AT31" i="6"/>
  <c r="AS31" i="6"/>
  <c r="AQ31" i="6"/>
  <c r="AP31" i="6"/>
  <c r="AO31" i="6"/>
  <c r="AN31" i="6"/>
  <c r="AM31" i="6"/>
  <c r="AL31" i="6"/>
  <c r="AK31" i="6"/>
  <c r="AJ31" i="6"/>
  <c r="AI31" i="6"/>
  <c r="AH31" i="6"/>
  <c r="AG31" i="6"/>
  <c r="AF31" i="6"/>
  <c r="AE31" i="6"/>
  <c r="AD31" i="6"/>
  <c r="AC31" i="6"/>
  <c r="AB31" i="6"/>
  <c r="AA31" i="6"/>
  <c r="Z31" i="6"/>
  <c r="Y31" i="6"/>
  <c r="X31" i="6"/>
  <c r="W31" i="6"/>
  <c r="V31" i="6"/>
  <c r="U31" i="6"/>
  <c r="S31" i="6"/>
  <c r="R31" i="6"/>
  <c r="Q31" i="6"/>
  <c r="P31" i="6"/>
  <c r="O31" i="6"/>
  <c r="N31" i="6"/>
  <c r="M31" i="6"/>
  <c r="L31" i="6"/>
  <c r="AT30" i="6"/>
  <c r="AS30" i="6"/>
  <c r="AR30" i="6"/>
  <c r="AQ30" i="6"/>
  <c r="AP30" i="6"/>
  <c r="AN30" i="6"/>
  <c r="AM30" i="6"/>
  <c r="AL30" i="6"/>
  <c r="AK30" i="6"/>
  <c r="AJ30" i="6"/>
  <c r="AH30" i="6"/>
  <c r="AG30" i="6"/>
  <c r="AF30" i="6"/>
  <c r="AE30" i="6"/>
  <c r="AD30" i="6"/>
  <c r="AB30" i="6"/>
  <c r="AA30" i="6"/>
  <c r="Y30" i="6"/>
  <c r="X30" i="6"/>
  <c r="V30" i="6"/>
  <c r="U30" i="6"/>
  <c r="Q30" i="6"/>
  <c r="P30" i="6"/>
  <c r="O30" i="6"/>
  <c r="N30" i="6"/>
  <c r="M30" i="6"/>
  <c r="L30" i="6"/>
  <c r="AU29" i="6"/>
  <c r="AS29" i="6"/>
  <c r="AR29" i="6"/>
  <c r="AQ29" i="6"/>
  <c r="AP29" i="6"/>
  <c r="AO29" i="6"/>
  <c r="AM29" i="6"/>
  <c r="AL29" i="6"/>
  <c r="AK29" i="6"/>
  <c r="AJ29" i="6"/>
  <c r="AI29" i="6"/>
  <c r="AG29" i="6"/>
  <c r="AF29" i="6"/>
  <c r="AE29" i="6"/>
  <c r="AD29" i="6"/>
  <c r="AC29" i="6"/>
  <c r="AA29" i="6"/>
  <c r="Z29" i="6"/>
  <c r="X29" i="6"/>
  <c r="W29" i="6"/>
  <c r="U29" i="6"/>
  <c r="T29" i="6"/>
  <c r="S29" i="6"/>
  <c r="R29" i="6"/>
  <c r="N29" i="6"/>
  <c r="M29" i="6"/>
  <c r="L29" i="6"/>
  <c r="AU28" i="6"/>
  <c r="AT28" i="6"/>
  <c r="AS28" i="6"/>
  <c r="AR28" i="6"/>
  <c r="AQ28" i="6"/>
  <c r="AP28" i="6"/>
  <c r="AO28" i="6"/>
  <c r="AN28" i="6"/>
  <c r="AM28" i="6"/>
  <c r="AL28" i="6"/>
  <c r="AJ28" i="6"/>
  <c r="AI28" i="6"/>
  <c r="AH28" i="6"/>
  <c r="AG28" i="6"/>
  <c r="AF28" i="6"/>
  <c r="AE28" i="6"/>
  <c r="AD28" i="6"/>
  <c r="AC28" i="6"/>
  <c r="AB28" i="6"/>
  <c r="AA28" i="6"/>
  <c r="Z28" i="6"/>
  <c r="Y28" i="6"/>
  <c r="X28" i="6"/>
  <c r="W28" i="6"/>
  <c r="V28" i="6"/>
  <c r="U28" i="6"/>
  <c r="T28" i="6"/>
  <c r="S28" i="6"/>
  <c r="R28" i="6"/>
  <c r="Q28" i="6"/>
  <c r="O28" i="6"/>
  <c r="N28" i="6"/>
  <c r="M28" i="6"/>
  <c r="L28" i="6"/>
  <c r="AU27" i="6"/>
  <c r="AT27" i="6"/>
  <c r="AS27" i="6"/>
  <c r="AR27" i="6"/>
  <c r="AQ27" i="6"/>
  <c r="AP27" i="6"/>
  <c r="AO27" i="6"/>
  <c r="AN27" i="6"/>
  <c r="AM27" i="6"/>
  <c r="AL27" i="6"/>
  <c r="AK27" i="6"/>
  <c r="AJ27" i="6"/>
  <c r="AI27" i="6"/>
  <c r="AH27" i="6"/>
  <c r="AG27" i="6"/>
  <c r="AF27" i="6"/>
  <c r="AE27" i="6"/>
  <c r="AC27" i="6"/>
  <c r="AB27" i="6"/>
  <c r="AA27" i="6"/>
  <c r="Z27" i="6"/>
  <c r="Y27" i="6"/>
  <c r="X27" i="6"/>
  <c r="W27" i="6"/>
  <c r="V27" i="6"/>
  <c r="U27" i="6"/>
  <c r="T27" i="6"/>
  <c r="S27" i="6"/>
  <c r="R27" i="6"/>
  <c r="Q27" i="6"/>
  <c r="P27" i="6"/>
  <c r="O27" i="6"/>
  <c r="N27" i="6"/>
  <c r="M27" i="6"/>
  <c r="AU26" i="6"/>
  <c r="AT26" i="6"/>
  <c r="AS26" i="6"/>
  <c r="AQ26" i="6"/>
  <c r="AP26" i="6"/>
  <c r="AO26" i="6"/>
  <c r="AN26" i="6"/>
  <c r="AM26" i="6"/>
  <c r="AL26" i="6"/>
  <c r="AK26" i="6"/>
  <c r="AJ26" i="6"/>
  <c r="AI26" i="6"/>
  <c r="AH26" i="6"/>
  <c r="AG26" i="6"/>
  <c r="AF26" i="6"/>
  <c r="AE26" i="6"/>
  <c r="AD26" i="6"/>
  <c r="AC26" i="6"/>
  <c r="AB26" i="6"/>
  <c r="AA26" i="6"/>
  <c r="Z26" i="6"/>
  <c r="Y26" i="6"/>
  <c r="X26" i="6"/>
  <c r="W26" i="6"/>
  <c r="V26" i="6"/>
  <c r="U26" i="6"/>
  <c r="S26" i="6"/>
  <c r="R26" i="6"/>
  <c r="Q26" i="6"/>
  <c r="P26" i="6"/>
  <c r="O26" i="6"/>
  <c r="N26" i="6"/>
  <c r="M26" i="6"/>
  <c r="L26" i="6"/>
  <c r="AU25" i="6"/>
  <c r="AT25" i="6"/>
  <c r="AS25" i="6"/>
  <c r="AQ25" i="6"/>
  <c r="AP25" i="6"/>
  <c r="AO25" i="6"/>
  <c r="AN25" i="6"/>
  <c r="AM25" i="6"/>
  <c r="AK25" i="6"/>
  <c r="AJ25" i="6"/>
  <c r="AI25" i="6"/>
  <c r="AH25" i="6"/>
  <c r="AG25" i="6"/>
  <c r="AE25" i="6"/>
  <c r="AD25" i="6"/>
  <c r="AC25" i="6"/>
  <c r="AB25" i="6"/>
  <c r="AA25" i="6"/>
  <c r="Z25" i="6"/>
  <c r="Y25" i="6"/>
  <c r="X25" i="6"/>
  <c r="W25" i="6"/>
  <c r="V25" i="6"/>
  <c r="U25" i="6"/>
  <c r="Q25" i="6"/>
  <c r="P25" i="6"/>
  <c r="O25" i="6"/>
  <c r="N25" i="6"/>
  <c r="M25" i="6"/>
  <c r="L25" i="6"/>
  <c r="AU24" i="6"/>
  <c r="AT24" i="6"/>
  <c r="AS24" i="6"/>
  <c r="AR24" i="6"/>
  <c r="AQ24" i="6"/>
  <c r="AP24" i="6"/>
  <c r="AO24" i="6"/>
  <c r="AN24" i="6"/>
  <c r="AL24" i="6"/>
  <c r="AK24" i="6"/>
  <c r="AJ24" i="6"/>
  <c r="AI24" i="6"/>
  <c r="AH24" i="6"/>
  <c r="AG24" i="6"/>
  <c r="AF24" i="6"/>
  <c r="AE24" i="6"/>
  <c r="AD24" i="6"/>
  <c r="AC24" i="6"/>
  <c r="AB24" i="6"/>
  <c r="AA24" i="6"/>
  <c r="Z24" i="6"/>
  <c r="Y24" i="6"/>
  <c r="W24" i="6"/>
  <c r="V24" i="6"/>
  <c r="U24" i="6"/>
  <c r="T24" i="6"/>
  <c r="S24" i="6"/>
  <c r="R24" i="6"/>
  <c r="Q24" i="6"/>
  <c r="P24" i="6"/>
  <c r="O24" i="6"/>
  <c r="N24" i="6"/>
  <c r="L24" i="6"/>
  <c r="AU23" i="6"/>
  <c r="AT23" i="6"/>
  <c r="AS23" i="6"/>
  <c r="AQ23" i="6"/>
  <c r="AP23" i="6"/>
  <c r="AO23" i="6"/>
  <c r="AN23" i="6"/>
  <c r="AM23" i="6"/>
  <c r="AK23" i="6"/>
  <c r="AJ23" i="6"/>
  <c r="AI23" i="6"/>
  <c r="AH23" i="6"/>
  <c r="AG23" i="6"/>
  <c r="AE23" i="6"/>
  <c r="AD23" i="6"/>
  <c r="AC23" i="6"/>
  <c r="AB23" i="6"/>
  <c r="AA23" i="6"/>
  <c r="Z23" i="6"/>
  <c r="Y23" i="6"/>
  <c r="X23" i="6"/>
  <c r="W23" i="6"/>
  <c r="V23" i="6"/>
  <c r="U23" i="6"/>
  <c r="Q23" i="6"/>
  <c r="P23" i="6"/>
  <c r="O23" i="6"/>
  <c r="N23" i="6"/>
  <c r="M23" i="6"/>
  <c r="L23" i="6"/>
  <c r="AU22" i="6"/>
  <c r="AT22" i="6"/>
  <c r="AS22" i="6"/>
  <c r="AR22" i="6"/>
  <c r="AQ22" i="6"/>
  <c r="AP22" i="6"/>
  <c r="AO22" i="6"/>
  <c r="AN22" i="6"/>
  <c r="AM22" i="6"/>
  <c r="AL22" i="6"/>
  <c r="AK22" i="6"/>
  <c r="AJ22" i="6"/>
  <c r="AI22" i="6"/>
  <c r="AH22" i="6"/>
  <c r="AG22" i="6"/>
  <c r="AF22" i="6"/>
  <c r="AD22" i="6"/>
  <c r="AC22" i="6"/>
  <c r="AB22" i="6"/>
  <c r="AA22" i="6"/>
  <c r="Z22" i="6"/>
  <c r="Y22" i="6"/>
  <c r="X22" i="6"/>
  <c r="W22" i="6"/>
  <c r="V22" i="6"/>
  <c r="U22" i="6"/>
  <c r="T22" i="6"/>
  <c r="S22" i="6"/>
  <c r="R22" i="6"/>
  <c r="Q22" i="6"/>
  <c r="P22" i="6"/>
  <c r="N22" i="6"/>
  <c r="M22" i="6"/>
  <c r="L22" i="6"/>
  <c r="AU21" i="6"/>
  <c r="AT21" i="6"/>
  <c r="AS21" i="6"/>
  <c r="AR21" i="6"/>
  <c r="AQ21" i="6"/>
  <c r="AP21" i="6"/>
  <c r="AO21" i="6"/>
  <c r="AN21" i="6"/>
  <c r="AM21" i="6"/>
  <c r="AL21" i="6"/>
  <c r="AK21" i="6"/>
  <c r="AJ21" i="6"/>
  <c r="AI21" i="6"/>
  <c r="AH21" i="6"/>
  <c r="AG21" i="6"/>
  <c r="AE21" i="6"/>
  <c r="AD21" i="6"/>
  <c r="AC21" i="6"/>
  <c r="AB21" i="6"/>
  <c r="AA21" i="6"/>
  <c r="Z21" i="6"/>
  <c r="Y21" i="6"/>
  <c r="X21" i="6"/>
  <c r="W21" i="6"/>
  <c r="V21" i="6"/>
  <c r="U21" i="6"/>
  <c r="T21" i="6"/>
  <c r="S21" i="6"/>
  <c r="Q21" i="6"/>
  <c r="P21" i="6"/>
  <c r="O21" i="6"/>
  <c r="N21" i="6"/>
  <c r="M21" i="6"/>
  <c r="L21" i="6"/>
  <c r="AU20" i="6"/>
  <c r="AT20" i="6"/>
  <c r="AS20" i="6"/>
  <c r="AR20" i="6"/>
  <c r="AQ20" i="6"/>
  <c r="AP20" i="6"/>
  <c r="AO20" i="6"/>
  <c r="AM20" i="6"/>
  <c r="AL20" i="6"/>
  <c r="AK20" i="6"/>
  <c r="AJ20" i="6"/>
  <c r="AI20" i="6"/>
  <c r="AH20" i="6"/>
  <c r="AG20" i="6"/>
  <c r="AF20" i="6"/>
  <c r="AE20" i="6"/>
  <c r="AD20" i="6"/>
  <c r="AC20" i="6"/>
  <c r="AB20" i="6"/>
  <c r="AA20" i="6"/>
  <c r="Z20" i="6"/>
  <c r="X20" i="6"/>
  <c r="W20" i="6"/>
  <c r="V20" i="6"/>
  <c r="U20" i="6"/>
  <c r="T20" i="6"/>
  <c r="S20" i="6"/>
  <c r="R20" i="6"/>
  <c r="Q20" i="6"/>
  <c r="O20" i="6"/>
  <c r="N20" i="6"/>
  <c r="M20" i="6"/>
  <c r="L20" i="6"/>
  <c r="AT19" i="6"/>
  <c r="AS19" i="6"/>
  <c r="AR19" i="6"/>
  <c r="AQ19" i="6"/>
  <c r="AP19" i="6"/>
  <c r="AN19" i="6"/>
  <c r="AM19" i="6"/>
  <c r="AL19" i="6"/>
  <c r="AK19" i="6"/>
  <c r="AJ19" i="6"/>
  <c r="AH19" i="6"/>
  <c r="AG19" i="6"/>
  <c r="AF19" i="6"/>
  <c r="AE19" i="6"/>
  <c r="AD19" i="6"/>
  <c r="AB19" i="6"/>
  <c r="AA19" i="6"/>
  <c r="Y19" i="6"/>
  <c r="X19" i="6"/>
  <c r="V19" i="6"/>
  <c r="U19" i="6"/>
  <c r="Q19" i="6"/>
  <c r="P19" i="6"/>
  <c r="O19" i="6"/>
  <c r="N19" i="6"/>
  <c r="M19" i="6"/>
  <c r="L19" i="6"/>
  <c r="AU18" i="6"/>
  <c r="AT18" i="6"/>
  <c r="AS18" i="6"/>
  <c r="AR18" i="6"/>
  <c r="AQ18" i="6"/>
  <c r="AO18" i="6"/>
  <c r="AN18" i="6"/>
  <c r="AM18" i="6"/>
  <c r="AL18" i="6"/>
  <c r="AK18" i="6"/>
  <c r="AI18" i="6"/>
  <c r="AH18" i="6"/>
  <c r="AG18" i="6"/>
  <c r="AF18" i="6"/>
  <c r="AE18" i="6"/>
  <c r="AC18" i="6"/>
  <c r="AB18" i="6"/>
  <c r="AA18" i="6"/>
  <c r="Z18" i="6"/>
  <c r="Y18" i="6"/>
  <c r="X18" i="6"/>
  <c r="W18" i="6"/>
  <c r="V18" i="6"/>
  <c r="U18" i="6"/>
  <c r="T18" i="6"/>
  <c r="S18" i="6"/>
  <c r="R18" i="6"/>
  <c r="Q18" i="6"/>
  <c r="P18" i="6"/>
  <c r="O18" i="6"/>
  <c r="AT17" i="6"/>
  <c r="AS17" i="6"/>
  <c r="AR17" i="6"/>
  <c r="AQ17" i="6"/>
  <c r="AP17" i="6"/>
  <c r="AO17" i="6"/>
  <c r="AN17" i="6"/>
  <c r="AM17" i="6"/>
  <c r="AL17" i="6"/>
  <c r="AK17" i="6"/>
  <c r="AJ17" i="6"/>
  <c r="AI17" i="6"/>
  <c r="AH17" i="6"/>
  <c r="AG17" i="6"/>
  <c r="AF17" i="6"/>
  <c r="AE17" i="6"/>
  <c r="AD17" i="6"/>
  <c r="AB17" i="6"/>
  <c r="AA17" i="6"/>
  <c r="Z17" i="6"/>
  <c r="Y17" i="6"/>
  <c r="X17" i="6"/>
  <c r="W17" i="6"/>
  <c r="V17" i="6"/>
  <c r="U17" i="6"/>
  <c r="S17" i="6"/>
  <c r="R17" i="6"/>
  <c r="Q17" i="6"/>
  <c r="P17" i="6"/>
  <c r="O17" i="6"/>
  <c r="N17" i="6"/>
  <c r="M17" i="6"/>
  <c r="L17" i="6"/>
  <c r="AU16" i="6"/>
  <c r="AT16" i="6"/>
  <c r="AS16" i="6"/>
  <c r="AR16" i="6"/>
  <c r="AQ16" i="6"/>
  <c r="AP16" i="6"/>
  <c r="AO16" i="6"/>
  <c r="AN16" i="6"/>
  <c r="AM16" i="6"/>
  <c r="AL16" i="6"/>
  <c r="AK16" i="6"/>
  <c r="AJ16" i="6"/>
  <c r="AI16" i="6"/>
  <c r="AH16" i="6"/>
  <c r="AG16" i="6"/>
  <c r="AF16" i="6"/>
  <c r="AD16" i="6"/>
  <c r="AC16" i="6"/>
  <c r="AB16" i="6"/>
  <c r="AA16" i="6"/>
  <c r="Z16" i="6"/>
  <c r="Y16" i="6"/>
  <c r="X16" i="6"/>
  <c r="W16" i="6"/>
  <c r="V16" i="6"/>
  <c r="U16" i="6"/>
  <c r="T16" i="6"/>
  <c r="S16" i="6"/>
  <c r="R16" i="6"/>
  <c r="Q16" i="6"/>
  <c r="P16" i="6"/>
  <c r="N16" i="6"/>
  <c r="M16" i="6"/>
  <c r="L16" i="6"/>
  <c r="AU15" i="6"/>
  <c r="AT15" i="6"/>
  <c r="AS15" i="6"/>
  <c r="AR15" i="6"/>
  <c r="AQ15" i="6"/>
  <c r="AO15" i="6"/>
  <c r="AN15" i="6"/>
  <c r="AM15" i="6"/>
  <c r="AL15" i="6"/>
  <c r="AK15" i="6"/>
  <c r="AI15" i="6"/>
  <c r="AH15" i="6"/>
  <c r="AG15" i="6"/>
  <c r="AF15" i="6"/>
  <c r="AE15" i="6"/>
  <c r="AC15" i="6"/>
  <c r="AB15" i="6"/>
  <c r="AA15" i="6"/>
  <c r="Z15" i="6"/>
  <c r="Y15" i="6"/>
  <c r="X15" i="6"/>
  <c r="W15" i="6"/>
  <c r="V15" i="6"/>
  <c r="U15" i="6"/>
  <c r="T15" i="6"/>
  <c r="S15" i="6"/>
  <c r="R15" i="6"/>
  <c r="Q15" i="6"/>
  <c r="P15" i="6"/>
  <c r="O15" i="6"/>
  <c r="AU14" i="6"/>
  <c r="AT14" i="6"/>
  <c r="AS14" i="6"/>
  <c r="AR14" i="6"/>
  <c r="AQ14" i="6"/>
  <c r="AO14" i="6"/>
  <c r="AN14" i="6"/>
  <c r="AM14" i="6"/>
  <c r="AL14" i="6"/>
  <c r="AK14" i="6"/>
  <c r="AI14" i="6"/>
  <c r="AH14" i="6"/>
  <c r="AG14" i="6"/>
  <c r="AF14" i="6"/>
  <c r="AE14" i="6"/>
  <c r="AC14" i="6"/>
  <c r="AB14" i="6"/>
  <c r="AA14" i="6"/>
  <c r="Z14" i="6"/>
  <c r="Y14" i="6"/>
  <c r="X14" i="6"/>
  <c r="W14" i="6"/>
  <c r="V14" i="6"/>
  <c r="U14" i="6"/>
  <c r="T14" i="6"/>
  <c r="S14" i="6"/>
  <c r="R14" i="6"/>
  <c r="Q14" i="6"/>
  <c r="P14" i="6"/>
  <c r="O14" i="6"/>
  <c r="AU13" i="6"/>
  <c r="AT13" i="6"/>
  <c r="AS13" i="6"/>
  <c r="AQ13" i="6"/>
  <c r="AP13" i="6"/>
  <c r="AO13" i="6"/>
  <c r="AN13" i="6"/>
  <c r="AM13" i="6"/>
  <c r="AL13" i="6"/>
  <c r="AK13" i="6"/>
  <c r="AJ13" i="6"/>
  <c r="AI13" i="6"/>
  <c r="AH13" i="6"/>
  <c r="AG13" i="6"/>
  <c r="AF13" i="6"/>
  <c r="AE13" i="6"/>
  <c r="AD13" i="6"/>
  <c r="AC13" i="6"/>
  <c r="AB13" i="6"/>
  <c r="AA13" i="6"/>
  <c r="Z13" i="6"/>
  <c r="Y13" i="6"/>
  <c r="X13" i="6"/>
  <c r="W13" i="6"/>
  <c r="V13" i="6"/>
  <c r="U13" i="6"/>
  <c r="S13" i="6"/>
  <c r="R13" i="6"/>
  <c r="Q13" i="6"/>
  <c r="P13" i="6"/>
  <c r="O13" i="6"/>
  <c r="N13" i="6"/>
  <c r="M13" i="6"/>
  <c r="L13" i="6"/>
  <c r="AU12" i="6"/>
  <c r="AT12" i="6"/>
  <c r="AS12" i="6"/>
  <c r="AR12" i="6"/>
  <c r="AQ12" i="6"/>
  <c r="AP12" i="6"/>
  <c r="AO12" i="6"/>
  <c r="AN12" i="6"/>
  <c r="AM12" i="6"/>
  <c r="AK12" i="6"/>
  <c r="AJ12" i="6"/>
  <c r="AI12" i="6"/>
  <c r="AH12" i="6"/>
  <c r="AG12" i="6"/>
  <c r="AF12" i="6"/>
  <c r="AE12" i="6"/>
  <c r="AD12" i="6"/>
  <c r="AC12" i="6"/>
  <c r="AB12" i="6"/>
  <c r="AA12" i="6"/>
  <c r="Z12" i="6"/>
  <c r="Y12" i="6"/>
  <c r="X12" i="6"/>
  <c r="W12" i="6"/>
  <c r="V12" i="6"/>
  <c r="U12" i="6"/>
  <c r="T12" i="6"/>
  <c r="R12" i="6"/>
  <c r="Q12" i="6"/>
  <c r="P12" i="6"/>
  <c r="O12" i="6"/>
  <c r="N12" i="6"/>
  <c r="M12" i="6"/>
  <c r="L12" i="6"/>
  <c r="AU11" i="6"/>
  <c r="AT11" i="6"/>
  <c r="AS11" i="6"/>
  <c r="AR11" i="6"/>
  <c r="AP11" i="6"/>
  <c r="AO11" i="6"/>
  <c r="AN11" i="6"/>
  <c r="AM11" i="6"/>
  <c r="AL11" i="6"/>
  <c r="AJ11" i="6"/>
  <c r="AI11" i="6"/>
  <c r="AH11" i="6"/>
  <c r="AG11" i="6"/>
  <c r="AF11" i="6"/>
  <c r="AD11" i="6"/>
  <c r="AC11" i="6"/>
  <c r="AB11" i="6"/>
  <c r="AA11" i="6"/>
  <c r="Z11" i="6"/>
  <c r="Y11" i="6"/>
  <c r="X11" i="6"/>
  <c r="W11" i="6"/>
  <c r="V11" i="6"/>
  <c r="U11" i="6"/>
  <c r="T11" i="6"/>
  <c r="S11" i="6"/>
  <c r="R11" i="6"/>
  <c r="N11" i="6"/>
  <c r="M11" i="6"/>
  <c r="L11" i="6"/>
  <c r="AU10" i="6"/>
  <c r="AT10" i="6"/>
  <c r="AS10" i="6"/>
  <c r="AR10" i="6"/>
  <c r="AQ10" i="6"/>
  <c r="AP10" i="6"/>
  <c r="AO10" i="6"/>
  <c r="AN10" i="6"/>
  <c r="AM10" i="6"/>
  <c r="AL10" i="6"/>
  <c r="AK10" i="6"/>
  <c r="AJ10" i="6"/>
  <c r="AI10" i="6"/>
  <c r="AH10" i="6"/>
  <c r="AF10" i="6"/>
  <c r="AE10" i="6"/>
  <c r="AD10" i="6"/>
  <c r="AC10" i="6"/>
  <c r="AB10" i="6"/>
  <c r="AA10" i="6"/>
  <c r="Z10" i="6"/>
  <c r="Y10" i="6"/>
  <c r="X10" i="6"/>
  <c r="W10" i="6"/>
  <c r="V10" i="6"/>
  <c r="T10" i="6"/>
  <c r="S10" i="6"/>
  <c r="R10" i="6"/>
  <c r="Q10" i="6"/>
  <c r="P10" i="6"/>
  <c r="O10" i="6"/>
  <c r="N10" i="6"/>
  <c r="M10" i="6"/>
  <c r="AT9" i="6"/>
  <c r="AS9" i="6"/>
  <c r="AR9" i="6"/>
  <c r="AQ9" i="6"/>
  <c r="AP9" i="6"/>
  <c r="AO9" i="6"/>
  <c r="AN9" i="6"/>
  <c r="AM9" i="6"/>
  <c r="AL9" i="6"/>
  <c r="AK9" i="6"/>
  <c r="AJ9" i="6"/>
  <c r="AI9" i="6"/>
  <c r="AH9" i="6"/>
  <c r="AG9" i="6"/>
  <c r="AF9" i="6"/>
  <c r="AE9" i="6"/>
  <c r="AD9" i="6"/>
  <c r="AB9" i="6"/>
  <c r="AA9" i="6"/>
  <c r="Z9" i="6"/>
  <c r="Y9" i="6"/>
  <c r="X9" i="6"/>
  <c r="W9" i="6"/>
  <c r="V9" i="6"/>
  <c r="U9" i="6"/>
  <c r="S9" i="6"/>
  <c r="R9" i="6"/>
  <c r="Q9" i="6"/>
  <c r="P9" i="6"/>
  <c r="O9" i="6"/>
  <c r="N9" i="6"/>
  <c r="M9" i="6"/>
  <c r="L9" i="6"/>
  <c r="AU8" i="6"/>
  <c r="AT8" i="6"/>
  <c r="AS8" i="6"/>
  <c r="AQ8" i="6"/>
  <c r="AP8" i="6"/>
  <c r="AO8" i="6"/>
  <c r="AN8" i="6"/>
  <c r="AM8" i="6"/>
  <c r="AK8" i="6"/>
  <c r="AJ8" i="6"/>
  <c r="AI8" i="6"/>
  <c r="AH8" i="6"/>
  <c r="AG8" i="6"/>
  <c r="AE8" i="6"/>
  <c r="AD8" i="6"/>
  <c r="AC8" i="6"/>
  <c r="AB8" i="6"/>
  <c r="AA8" i="6"/>
  <c r="Z8" i="6"/>
  <c r="Y8" i="6"/>
  <c r="X8" i="6"/>
  <c r="W8" i="6"/>
  <c r="V8" i="6"/>
  <c r="U8" i="6"/>
  <c r="Q8" i="6"/>
  <c r="P8" i="6"/>
  <c r="O8" i="6"/>
  <c r="N8" i="6"/>
  <c r="M8" i="6"/>
  <c r="L8" i="6"/>
  <c r="AU7" i="6"/>
  <c r="AT7" i="6"/>
  <c r="AS7" i="6"/>
  <c r="AR7" i="6"/>
  <c r="AQ7" i="6"/>
  <c r="AO7" i="6"/>
  <c r="AN7" i="6"/>
  <c r="AM7" i="6"/>
  <c r="AL7" i="6"/>
  <c r="AK7" i="6"/>
  <c r="AI7" i="6"/>
  <c r="AH7" i="6"/>
  <c r="AG7" i="6"/>
  <c r="AF7" i="6"/>
  <c r="AE7" i="6"/>
  <c r="AC7" i="6"/>
  <c r="AB7" i="6"/>
  <c r="AA7" i="6"/>
  <c r="Z7" i="6"/>
  <c r="Y7" i="6"/>
  <c r="X7" i="6"/>
  <c r="W7" i="6"/>
  <c r="V7" i="6"/>
  <c r="U7" i="6"/>
  <c r="T7" i="6"/>
  <c r="S7" i="6"/>
  <c r="R7" i="6"/>
  <c r="Q7" i="6"/>
  <c r="P7" i="6"/>
  <c r="O7" i="6"/>
  <c r="AU6" i="6"/>
  <c r="AT6" i="6"/>
  <c r="AS6" i="6"/>
  <c r="AR6" i="6"/>
  <c r="AQ6" i="6"/>
  <c r="AP6" i="6"/>
  <c r="AO6" i="6"/>
  <c r="AN6" i="6"/>
  <c r="AM6" i="6"/>
  <c r="AL6" i="6"/>
  <c r="AJ6" i="6"/>
  <c r="AI6" i="6"/>
  <c r="AH6" i="6"/>
  <c r="AG6" i="6"/>
  <c r="AF6" i="6"/>
  <c r="AE6" i="6"/>
  <c r="AD6" i="6"/>
  <c r="AC6" i="6"/>
  <c r="AB6" i="6"/>
  <c r="AA6" i="6"/>
  <c r="Z6" i="6"/>
  <c r="Y6" i="6"/>
  <c r="X6" i="6"/>
  <c r="W6" i="6"/>
  <c r="V6" i="6"/>
  <c r="U6" i="6"/>
  <c r="T6" i="6"/>
  <c r="S6" i="6"/>
  <c r="R6" i="6"/>
  <c r="N6" i="6"/>
  <c r="M6" i="6"/>
  <c r="L6" i="6"/>
  <c r="J6" i="6"/>
  <c r="AK6" i="6" s="1"/>
  <c r="AU5" i="6"/>
  <c r="AT5" i="6"/>
  <c r="AS5" i="6"/>
  <c r="AR5" i="6"/>
  <c r="AQ5" i="6"/>
  <c r="AP5" i="6"/>
  <c r="AO5" i="6"/>
  <c r="AN5" i="6"/>
  <c r="AM5" i="6"/>
  <c r="AL5" i="6"/>
  <c r="AJ5" i="6"/>
  <c r="AI5" i="6"/>
  <c r="AH5" i="6"/>
  <c r="AG5" i="6"/>
  <c r="AF5" i="6"/>
  <c r="AE5" i="6"/>
  <c r="AD5" i="6"/>
  <c r="AC5" i="6"/>
  <c r="AB5" i="6"/>
  <c r="AA5" i="6"/>
  <c r="Z5" i="6"/>
  <c r="Y5" i="6"/>
  <c r="X5" i="6"/>
  <c r="W5" i="6"/>
  <c r="V5" i="6"/>
  <c r="U5" i="6"/>
  <c r="T5" i="6"/>
  <c r="S5" i="6"/>
  <c r="R5" i="6"/>
  <c r="Q5" i="6"/>
  <c r="O5" i="6"/>
  <c r="N5" i="6"/>
  <c r="M5" i="6"/>
  <c r="L5" i="6"/>
  <c r="AU4" i="6"/>
  <c r="AT4" i="6"/>
  <c r="AS4" i="6"/>
  <c r="AR4" i="6"/>
  <c r="AQ4" i="6"/>
  <c r="AP4" i="6"/>
  <c r="AO4" i="6"/>
  <c r="AN4" i="6"/>
  <c r="AM4" i="6"/>
  <c r="AL4" i="6"/>
  <c r="AK4" i="6"/>
  <c r="AJ4" i="6"/>
  <c r="AI4" i="6"/>
  <c r="AH4" i="6"/>
  <c r="AG4" i="6"/>
  <c r="AF4" i="6"/>
  <c r="AD4" i="6"/>
  <c r="AC4" i="6"/>
  <c r="AB4" i="6"/>
  <c r="AA4" i="6"/>
  <c r="Z4" i="6"/>
  <c r="Y4" i="6"/>
  <c r="X4" i="6"/>
  <c r="W4" i="6"/>
  <c r="V4" i="6"/>
  <c r="U4" i="6"/>
  <c r="T4" i="6"/>
  <c r="S4" i="6"/>
  <c r="R4" i="6"/>
  <c r="Q4" i="6"/>
  <c r="P4" i="6"/>
  <c r="N4" i="6"/>
  <c r="M4" i="6"/>
  <c r="L4" i="6"/>
  <c r="AU3" i="6"/>
  <c r="AT3" i="6"/>
  <c r="AS3" i="6"/>
  <c r="AR3" i="6"/>
  <c r="AQ3" i="6"/>
  <c r="AP3" i="6"/>
  <c r="AO3" i="6"/>
  <c r="AN3" i="6"/>
  <c r="AM3" i="6"/>
  <c r="AL3" i="6"/>
  <c r="AJ3" i="6"/>
  <c r="AI3" i="6"/>
  <c r="AH3" i="6"/>
  <c r="AG3" i="6"/>
  <c r="AF3" i="6"/>
  <c r="AE3" i="6"/>
  <c r="AD3" i="6"/>
  <c r="AC3" i="6"/>
  <c r="AB3" i="6"/>
  <c r="AA3" i="6"/>
  <c r="Z3" i="6"/>
  <c r="Y3" i="6"/>
  <c r="X3" i="6"/>
  <c r="W3" i="6"/>
  <c r="V3" i="6"/>
  <c r="U3" i="6"/>
  <c r="T3" i="6"/>
  <c r="S3" i="6"/>
  <c r="R3" i="6"/>
  <c r="Q3" i="6"/>
  <c r="O3" i="6"/>
  <c r="N3" i="6"/>
  <c r="M3" i="6"/>
  <c r="L3" i="6"/>
  <c r="AU2" i="6"/>
  <c r="AT2" i="6"/>
  <c r="AS2" i="6"/>
  <c r="AR2" i="6"/>
  <c r="AQ2" i="6"/>
  <c r="AP2" i="6"/>
  <c r="AO2" i="6"/>
  <c r="AN2" i="6"/>
  <c r="AM2" i="6"/>
  <c r="AL2" i="6"/>
  <c r="AK2" i="6"/>
  <c r="AI2" i="6"/>
  <c r="AH2" i="6"/>
  <c r="AG2" i="6"/>
  <c r="AF2" i="6"/>
  <c r="AE2" i="6"/>
  <c r="AD2" i="6"/>
  <c r="AC2" i="6"/>
  <c r="AB2" i="6"/>
  <c r="AA2" i="6"/>
  <c r="Z2" i="6"/>
  <c r="Y2" i="6"/>
  <c r="X2" i="6"/>
  <c r="W2" i="6"/>
  <c r="V2" i="6"/>
  <c r="U2" i="6"/>
  <c r="T2" i="6"/>
  <c r="S2" i="6"/>
  <c r="R2" i="6"/>
  <c r="Q2" i="6"/>
  <c r="P2" i="6"/>
  <c r="O2" i="6"/>
  <c r="N2" i="6"/>
  <c r="L2" i="6"/>
  <c r="AU110" i="5"/>
  <c r="AT110" i="5"/>
  <c r="AS110" i="5"/>
  <c r="AR110" i="5"/>
  <c r="AQ110" i="5"/>
  <c r="AP110" i="5"/>
  <c r="AN110" i="5"/>
  <c r="AM110" i="5"/>
  <c r="AL110" i="5"/>
  <c r="AK110" i="5"/>
  <c r="AJ110" i="5"/>
  <c r="AI110" i="5"/>
  <c r="AH110" i="5"/>
  <c r="AG110" i="5"/>
  <c r="AF110" i="5"/>
  <c r="AE110" i="5"/>
  <c r="AD110" i="5"/>
  <c r="AC110" i="5"/>
  <c r="AB110" i="5"/>
  <c r="AA110" i="5"/>
  <c r="Y110" i="5"/>
  <c r="X110" i="5"/>
  <c r="W110" i="5"/>
  <c r="V110" i="5"/>
  <c r="U110" i="5"/>
  <c r="T110" i="5"/>
  <c r="R110" i="5"/>
  <c r="Q110" i="5"/>
  <c r="P110" i="5"/>
  <c r="O110" i="5"/>
  <c r="N110" i="5"/>
  <c r="M110" i="5"/>
  <c r="L110" i="5"/>
  <c r="AU109" i="5"/>
  <c r="AT109" i="5"/>
  <c r="AS109" i="5"/>
  <c r="AR109" i="5"/>
  <c r="AQ109" i="5"/>
  <c r="AP109" i="5"/>
  <c r="AO109" i="5"/>
  <c r="AN109" i="5"/>
  <c r="AM109" i="5"/>
  <c r="AK109" i="5"/>
  <c r="AJ109" i="5"/>
  <c r="AI109" i="5"/>
  <c r="AH109" i="5"/>
  <c r="AG109" i="5"/>
  <c r="AF109" i="5"/>
  <c r="AE109" i="5"/>
  <c r="AD109" i="5"/>
  <c r="AC109" i="5"/>
  <c r="AB109" i="5"/>
  <c r="AA109" i="5"/>
  <c r="Z109" i="5"/>
  <c r="Y109" i="5"/>
  <c r="X109" i="5"/>
  <c r="W109" i="5"/>
  <c r="V109" i="5"/>
  <c r="U109" i="5"/>
  <c r="T109" i="5"/>
  <c r="R109" i="5"/>
  <c r="Q109" i="5"/>
  <c r="P109" i="5"/>
  <c r="O109" i="5"/>
  <c r="N109" i="5"/>
  <c r="M109" i="5"/>
  <c r="L109" i="5"/>
  <c r="AU108" i="5"/>
  <c r="AT108" i="5"/>
  <c r="AS108" i="5"/>
  <c r="AR108" i="5"/>
  <c r="AQ108" i="5"/>
  <c r="AP108" i="5"/>
  <c r="AN108" i="5"/>
  <c r="AM108" i="5"/>
  <c r="AL108" i="5"/>
  <c r="AK108" i="5"/>
  <c r="AJ108" i="5"/>
  <c r="AI108" i="5"/>
  <c r="AH108" i="5"/>
  <c r="AG108" i="5"/>
  <c r="AF108" i="5"/>
  <c r="AE108" i="5"/>
  <c r="AD108" i="5"/>
  <c r="AC108" i="5"/>
  <c r="AB108" i="5"/>
  <c r="AA108" i="5"/>
  <c r="Y108" i="5"/>
  <c r="X108" i="5"/>
  <c r="W108" i="5"/>
  <c r="V108" i="5"/>
  <c r="U108" i="5"/>
  <c r="T108" i="5"/>
  <c r="R108" i="5"/>
  <c r="Q108" i="5"/>
  <c r="P108" i="5"/>
  <c r="O108" i="5"/>
  <c r="N108" i="5"/>
  <c r="M108" i="5"/>
  <c r="L108" i="5"/>
  <c r="J108" i="5"/>
  <c r="AO108" i="5" s="1"/>
  <c r="AU107" i="5"/>
  <c r="AT107" i="5"/>
  <c r="AS107" i="5"/>
  <c r="AR107" i="5"/>
  <c r="AQ107" i="5"/>
  <c r="AP107" i="5"/>
  <c r="AO107" i="5"/>
  <c r="AN107" i="5"/>
  <c r="AM107" i="5"/>
  <c r="AL107" i="5"/>
  <c r="AK107" i="5"/>
  <c r="AJ107" i="5"/>
  <c r="AI107" i="5"/>
  <c r="AG107" i="5"/>
  <c r="AF107" i="5"/>
  <c r="AE107" i="5"/>
  <c r="AD107" i="5"/>
  <c r="AC107" i="5"/>
  <c r="AB107" i="5"/>
  <c r="AA107" i="5"/>
  <c r="Z107" i="5"/>
  <c r="Y107" i="5"/>
  <c r="X107" i="5"/>
  <c r="W107" i="5"/>
  <c r="U107" i="5"/>
  <c r="T107" i="5"/>
  <c r="S107" i="5"/>
  <c r="R107" i="5"/>
  <c r="Q107" i="5"/>
  <c r="P107" i="5"/>
  <c r="N107" i="5"/>
  <c r="M107" i="5"/>
  <c r="L107" i="5"/>
  <c r="AU106" i="5"/>
  <c r="AT106" i="5"/>
  <c r="AS106" i="5"/>
  <c r="AR106" i="5"/>
  <c r="AQ106" i="5"/>
  <c r="AP106" i="5"/>
  <c r="AO106" i="5"/>
  <c r="AN106" i="5"/>
  <c r="AM106" i="5"/>
  <c r="AL106" i="5"/>
  <c r="AK106" i="5"/>
  <c r="AJ106" i="5"/>
  <c r="AI106" i="5"/>
  <c r="AH106" i="5"/>
  <c r="AG106" i="5"/>
  <c r="AF106" i="5"/>
  <c r="AE106" i="5"/>
  <c r="AD106" i="5"/>
  <c r="AC106" i="5"/>
  <c r="AB106" i="5"/>
  <c r="Z106" i="5"/>
  <c r="Y106" i="5"/>
  <c r="X106" i="5"/>
  <c r="W106" i="5"/>
  <c r="V106" i="5"/>
  <c r="U106" i="5"/>
  <c r="T106" i="5"/>
  <c r="S106" i="5"/>
  <c r="R106" i="5"/>
  <c r="Q106" i="5"/>
  <c r="P106" i="5"/>
  <c r="O106" i="5"/>
  <c r="M106" i="5"/>
  <c r="L106" i="5"/>
  <c r="J106" i="5"/>
  <c r="AU105" i="5"/>
  <c r="AS105" i="5"/>
  <c r="AR105" i="5"/>
  <c r="AQ105" i="5"/>
  <c r="AP105" i="5"/>
  <c r="AO105" i="5"/>
  <c r="AN105" i="5"/>
  <c r="AM105" i="5"/>
  <c r="AL105" i="5"/>
  <c r="AK105" i="5"/>
  <c r="AJ105" i="5"/>
  <c r="AI105" i="5"/>
  <c r="AH105" i="5"/>
  <c r="AG105" i="5"/>
  <c r="AF105" i="5"/>
  <c r="AE105" i="5"/>
  <c r="AD105" i="5"/>
  <c r="AC105" i="5"/>
  <c r="AA105" i="5"/>
  <c r="Z105" i="5"/>
  <c r="Y105" i="5"/>
  <c r="X105" i="5"/>
  <c r="W105" i="5"/>
  <c r="V105" i="5"/>
  <c r="U105" i="5"/>
  <c r="T105" i="5"/>
  <c r="S105" i="5"/>
  <c r="R105" i="5"/>
  <c r="P105" i="5"/>
  <c r="O105" i="5"/>
  <c r="N105" i="5"/>
  <c r="M105" i="5"/>
  <c r="L105" i="5"/>
  <c r="AU104" i="5"/>
  <c r="AS104" i="5"/>
  <c r="AR104" i="5"/>
  <c r="AQ104" i="5"/>
  <c r="AP104" i="5"/>
  <c r="AO104" i="5"/>
  <c r="AN104" i="5"/>
  <c r="AM104" i="5"/>
  <c r="AL104" i="5"/>
  <c r="AK104" i="5"/>
  <c r="AJ104" i="5"/>
  <c r="AI104" i="5"/>
  <c r="AH104" i="5"/>
  <c r="AG104" i="5"/>
  <c r="AF104" i="5"/>
  <c r="AE104" i="5"/>
  <c r="AD104" i="5"/>
  <c r="AC104" i="5"/>
  <c r="AA104" i="5"/>
  <c r="Z104" i="5"/>
  <c r="Y104" i="5"/>
  <c r="X104" i="5"/>
  <c r="W104" i="5"/>
  <c r="V104" i="5"/>
  <c r="U104" i="5"/>
  <c r="T104" i="5"/>
  <c r="S104" i="5"/>
  <c r="R104" i="5"/>
  <c r="P104" i="5"/>
  <c r="O104" i="5"/>
  <c r="N104" i="5"/>
  <c r="M104" i="5"/>
  <c r="L104" i="5"/>
  <c r="AU103" i="5"/>
  <c r="AT103" i="5"/>
  <c r="AS103" i="5"/>
  <c r="AQ103" i="5"/>
  <c r="AP103" i="5"/>
  <c r="AO103" i="5"/>
  <c r="AN103" i="5"/>
  <c r="AM103" i="5"/>
  <c r="AK103" i="5"/>
  <c r="AJ103" i="5"/>
  <c r="AI103" i="5"/>
  <c r="AH103" i="5"/>
  <c r="AG103" i="5"/>
  <c r="AE103" i="5"/>
  <c r="AD103" i="5"/>
  <c r="AC103" i="5"/>
  <c r="AB103" i="5"/>
  <c r="AA103" i="5"/>
  <c r="Z103" i="5"/>
  <c r="Y103" i="5"/>
  <c r="X103" i="5"/>
  <c r="W103" i="5"/>
  <c r="V103" i="5"/>
  <c r="U103" i="5"/>
  <c r="Q103" i="5"/>
  <c r="P103" i="5"/>
  <c r="O103" i="5"/>
  <c r="N103" i="5"/>
  <c r="M103" i="5"/>
  <c r="L103" i="5"/>
  <c r="AT102" i="5"/>
  <c r="AS102" i="5"/>
  <c r="AR102" i="5"/>
  <c r="AQ102" i="5"/>
  <c r="AP102" i="5"/>
  <c r="AO102" i="5"/>
  <c r="AN102" i="5"/>
  <c r="AM102" i="5"/>
  <c r="AL102" i="5"/>
  <c r="AK102" i="5"/>
  <c r="AJ102" i="5"/>
  <c r="AI102" i="5"/>
  <c r="AH102" i="5"/>
  <c r="AG102" i="5"/>
  <c r="AF102" i="5"/>
  <c r="AE102" i="5"/>
  <c r="AD102" i="5"/>
  <c r="AB102" i="5"/>
  <c r="AA102" i="5"/>
  <c r="Z102" i="5"/>
  <c r="Y102" i="5"/>
  <c r="X102" i="5"/>
  <c r="W102" i="5"/>
  <c r="V102" i="5"/>
  <c r="U102" i="5"/>
  <c r="S102" i="5"/>
  <c r="R102" i="5"/>
  <c r="Q102" i="5"/>
  <c r="P102" i="5"/>
  <c r="O102" i="5"/>
  <c r="N102" i="5"/>
  <c r="M102" i="5"/>
  <c r="L102" i="5"/>
  <c r="AU101" i="5"/>
  <c r="AT101" i="5"/>
  <c r="AS101" i="5"/>
  <c r="AQ101" i="5"/>
  <c r="AP101" i="5"/>
  <c r="AO101" i="5"/>
  <c r="AN101" i="5"/>
  <c r="AM101" i="5"/>
  <c r="AL101" i="5"/>
  <c r="AK101" i="5"/>
  <c r="AJ101" i="5"/>
  <c r="AI101" i="5"/>
  <c r="AH101" i="5"/>
  <c r="AG101" i="5"/>
  <c r="AF101" i="5"/>
  <c r="AE101" i="5"/>
  <c r="AD101" i="5"/>
  <c r="AC101" i="5"/>
  <c r="AB101" i="5"/>
  <c r="AA101" i="5"/>
  <c r="Z101" i="5"/>
  <c r="Y101" i="5"/>
  <c r="X101" i="5"/>
  <c r="W101" i="5"/>
  <c r="V101" i="5"/>
  <c r="U101" i="5"/>
  <c r="S101" i="5"/>
  <c r="R101" i="5"/>
  <c r="Q101" i="5"/>
  <c r="P101" i="5"/>
  <c r="O101" i="5"/>
  <c r="N101" i="5"/>
  <c r="M101" i="5"/>
  <c r="L101" i="5"/>
  <c r="AU100" i="5"/>
  <c r="AT100" i="5"/>
  <c r="AS100" i="5"/>
  <c r="AR100" i="5"/>
  <c r="AQ100" i="5"/>
  <c r="AP100" i="5"/>
  <c r="AO100" i="5"/>
  <c r="AN100" i="5"/>
  <c r="AM100" i="5"/>
  <c r="AL100" i="5"/>
  <c r="AK100" i="5"/>
  <c r="AJ100" i="5"/>
  <c r="AI100" i="5"/>
  <c r="AH100" i="5"/>
  <c r="AG100" i="5"/>
  <c r="AF100" i="5"/>
  <c r="AE100" i="5"/>
  <c r="AD100" i="5"/>
  <c r="AC100" i="5"/>
  <c r="AA100" i="5"/>
  <c r="Z100" i="5"/>
  <c r="X100" i="5"/>
  <c r="W100" i="5"/>
  <c r="U100" i="5"/>
  <c r="T100" i="5"/>
  <c r="S100" i="5"/>
  <c r="R100" i="5"/>
  <c r="N100" i="5"/>
  <c r="M100" i="5"/>
  <c r="L100" i="5"/>
  <c r="J100" i="5"/>
  <c r="AU99" i="5"/>
  <c r="AT99" i="5"/>
  <c r="AS99" i="5"/>
  <c r="AR99" i="5"/>
  <c r="AQ99" i="5"/>
  <c r="AP99" i="5"/>
  <c r="AO99" i="5"/>
  <c r="AN99" i="5"/>
  <c r="AM99" i="5"/>
  <c r="AK99" i="5"/>
  <c r="AJ99" i="5"/>
  <c r="AI99" i="5"/>
  <c r="AH99" i="5"/>
  <c r="AG99" i="5"/>
  <c r="AF99" i="5"/>
  <c r="AE99" i="5"/>
  <c r="AD99" i="5"/>
  <c r="AC99" i="5"/>
  <c r="AB99" i="5"/>
  <c r="AA99" i="5"/>
  <c r="Z99" i="5"/>
  <c r="Y99" i="5"/>
  <c r="X99" i="5"/>
  <c r="W99" i="5"/>
  <c r="V99" i="5"/>
  <c r="U99" i="5"/>
  <c r="Q99" i="5"/>
  <c r="P99" i="5"/>
  <c r="O99" i="5"/>
  <c r="N99" i="5"/>
  <c r="M99" i="5"/>
  <c r="L99" i="5"/>
  <c r="J99" i="5"/>
  <c r="AL99" i="5" s="1"/>
  <c r="AU98" i="5"/>
  <c r="AT98" i="5"/>
  <c r="AS98" i="5"/>
  <c r="AQ98" i="5"/>
  <c r="AP98" i="5"/>
  <c r="AO98" i="5"/>
  <c r="AN98" i="5"/>
  <c r="AM98" i="5"/>
  <c r="AK98" i="5"/>
  <c r="AJ98" i="5"/>
  <c r="AI98" i="5"/>
  <c r="AH98" i="5"/>
  <c r="AG98" i="5"/>
  <c r="AE98" i="5"/>
  <c r="AD98" i="5"/>
  <c r="AC98" i="5"/>
  <c r="AB98" i="5"/>
  <c r="AA98" i="5"/>
  <c r="Z98" i="5"/>
  <c r="Y98" i="5"/>
  <c r="X98" i="5"/>
  <c r="W98" i="5"/>
  <c r="V98" i="5"/>
  <c r="U98" i="5"/>
  <c r="Q98" i="5"/>
  <c r="P98" i="5"/>
  <c r="O98" i="5"/>
  <c r="N98" i="5"/>
  <c r="M98" i="5"/>
  <c r="L98" i="5"/>
  <c r="AU97" i="5"/>
  <c r="AT97" i="5"/>
  <c r="AS97" i="5"/>
  <c r="AR97" i="5"/>
  <c r="AQ97" i="5"/>
  <c r="AP97" i="5"/>
  <c r="AO97" i="5"/>
  <c r="AN97" i="5"/>
  <c r="AM97" i="5"/>
  <c r="AL97" i="5"/>
  <c r="AK97" i="5"/>
  <c r="AJ97" i="5"/>
  <c r="AI97" i="5"/>
  <c r="AH97" i="5"/>
  <c r="AG97" i="5"/>
  <c r="AF97" i="5"/>
  <c r="AD97" i="5"/>
  <c r="AC97" i="5"/>
  <c r="AB97" i="5"/>
  <c r="AA97" i="5"/>
  <c r="Z97" i="5"/>
  <c r="Y97" i="5"/>
  <c r="X97" i="5"/>
  <c r="W97" i="5"/>
  <c r="V97" i="5"/>
  <c r="U97" i="5"/>
  <c r="T97" i="5"/>
  <c r="S97" i="5"/>
  <c r="R97" i="5"/>
  <c r="Q97" i="5"/>
  <c r="P97" i="5"/>
  <c r="N97" i="5"/>
  <c r="M97" i="5"/>
  <c r="L97" i="5"/>
  <c r="AU96" i="5"/>
  <c r="AT96" i="5"/>
  <c r="AS96" i="5"/>
  <c r="AR96" i="5"/>
  <c r="AQ96" i="5"/>
  <c r="AP96" i="5"/>
  <c r="AO96" i="5"/>
  <c r="AN96" i="5"/>
  <c r="AM96" i="5"/>
  <c r="AL96" i="5"/>
  <c r="AK96" i="5"/>
  <c r="AJ96" i="5"/>
  <c r="AI96" i="5"/>
  <c r="AH96" i="5"/>
  <c r="AG96" i="5"/>
  <c r="AF96" i="5"/>
  <c r="AD96" i="5"/>
  <c r="AC96" i="5"/>
  <c r="AB96" i="5"/>
  <c r="AA96" i="5"/>
  <c r="Z96" i="5"/>
  <c r="Y96" i="5"/>
  <c r="X96" i="5"/>
  <c r="W96" i="5"/>
  <c r="V96" i="5"/>
  <c r="U96" i="5"/>
  <c r="T96" i="5"/>
  <c r="S96" i="5"/>
  <c r="R96" i="5"/>
  <c r="Q96" i="5"/>
  <c r="P96" i="5"/>
  <c r="N96" i="5"/>
  <c r="M96" i="5"/>
  <c r="L96" i="5"/>
  <c r="AU95" i="5"/>
  <c r="AT95" i="5"/>
  <c r="AS95" i="5"/>
  <c r="AR95" i="5"/>
  <c r="AQ95" i="5"/>
  <c r="AP95" i="5"/>
  <c r="AO95" i="5"/>
  <c r="AN95" i="5"/>
  <c r="AM95" i="5"/>
  <c r="AL95" i="5"/>
  <c r="AK95" i="5"/>
  <c r="AJ95" i="5"/>
  <c r="AI95" i="5"/>
  <c r="AH95" i="5"/>
  <c r="AG95" i="5"/>
  <c r="AF95" i="5"/>
  <c r="AE95" i="5"/>
  <c r="AD95" i="5"/>
  <c r="AC95" i="5"/>
  <c r="AB95" i="5"/>
  <c r="Z95" i="5"/>
  <c r="Y95" i="5"/>
  <c r="W95" i="5"/>
  <c r="V95" i="5"/>
  <c r="T95" i="5"/>
  <c r="S95" i="5"/>
  <c r="R95" i="5"/>
  <c r="Q95" i="5"/>
  <c r="P95" i="5"/>
  <c r="O95" i="5"/>
  <c r="J95" i="5"/>
  <c r="AU94" i="5"/>
  <c r="AT94" i="5"/>
  <c r="AS94" i="5"/>
  <c r="AR94" i="5"/>
  <c r="AQ94" i="5"/>
  <c r="AP94" i="5"/>
  <c r="AO94" i="5"/>
  <c r="AN94" i="5"/>
  <c r="AM94" i="5"/>
  <c r="AL94" i="5"/>
  <c r="AK94" i="5"/>
  <c r="AI94" i="5"/>
  <c r="AH94" i="5"/>
  <c r="AG94" i="5"/>
  <c r="AF94" i="5"/>
  <c r="AE94" i="5"/>
  <c r="AD94" i="5"/>
  <c r="AC94" i="5"/>
  <c r="AB94" i="5"/>
  <c r="AA94" i="5"/>
  <c r="Z94" i="5"/>
  <c r="Y94" i="5"/>
  <c r="X94" i="5"/>
  <c r="W94" i="5"/>
  <c r="V94" i="5"/>
  <c r="U94" i="5"/>
  <c r="T94" i="5"/>
  <c r="S94" i="5"/>
  <c r="R94" i="5"/>
  <c r="Q94" i="5"/>
  <c r="P94" i="5"/>
  <c r="O94" i="5"/>
  <c r="N94" i="5"/>
  <c r="L94" i="5"/>
  <c r="AU93" i="5"/>
  <c r="AT93" i="5"/>
  <c r="AS93" i="5"/>
  <c r="AR93" i="5"/>
  <c r="AP93" i="5"/>
  <c r="AO93" i="5"/>
  <c r="AN93" i="5"/>
  <c r="AM93" i="5"/>
  <c r="AL93" i="5"/>
  <c r="AJ93" i="5"/>
  <c r="AI93" i="5"/>
  <c r="AH93" i="5"/>
  <c r="AG93" i="5"/>
  <c r="AF93" i="5"/>
  <c r="AD93" i="5"/>
  <c r="AC93" i="5"/>
  <c r="AB93" i="5"/>
  <c r="AA93" i="5"/>
  <c r="Z93" i="5"/>
  <c r="Y93" i="5"/>
  <c r="X93" i="5"/>
  <c r="W93" i="5"/>
  <c r="V93" i="5"/>
  <c r="U93" i="5"/>
  <c r="T93" i="5"/>
  <c r="S93" i="5"/>
  <c r="R93" i="5"/>
  <c r="N93" i="5"/>
  <c r="M93" i="5"/>
  <c r="L93" i="5"/>
  <c r="AU92" i="5"/>
  <c r="AT92" i="5"/>
  <c r="AS92" i="5"/>
  <c r="AR92" i="5"/>
  <c r="AQ92" i="5"/>
  <c r="AO92" i="5"/>
  <c r="AN92" i="5"/>
  <c r="AM92" i="5"/>
  <c r="AL92" i="5"/>
  <c r="AK92" i="5"/>
  <c r="AI92" i="5"/>
  <c r="AH92" i="5"/>
  <c r="AG92" i="5"/>
  <c r="AF92" i="5"/>
  <c r="AE92" i="5"/>
  <c r="AC92" i="5"/>
  <c r="AB92" i="5"/>
  <c r="AA92" i="5"/>
  <c r="Z92" i="5"/>
  <c r="Y92" i="5"/>
  <c r="X92" i="5"/>
  <c r="W92" i="5"/>
  <c r="V92" i="5"/>
  <c r="U92" i="5"/>
  <c r="T92" i="5"/>
  <c r="S92" i="5"/>
  <c r="R92" i="5"/>
  <c r="Q92" i="5"/>
  <c r="P92" i="5"/>
  <c r="O92" i="5"/>
  <c r="AU91" i="5"/>
  <c r="AT91" i="5"/>
  <c r="AS91" i="5"/>
  <c r="AR91" i="5"/>
  <c r="AQ91" i="5"/>
  <c r="AP91" i="5"/>
  <c r="AO91" i="5"/>
  <c r="AN91" i="5"/>
  <c r="AM91" i="5"/>
  <c r="AL91" i="5"/>
  <c r="AK91" i="5"/>
  <c r="AJ91" i="5"/>
  <c r="AI91" i="5"/>
  <c r="AH91" i="5"/>
  <c r="AG91" i="5"/>
  <c r="AF91" i="5"/>
  <c r="AE91" i="5"/>
  <c r="AD91" i="5"/>
  <c r="AC91" i="5"/>
  <c r="AB91" i="5"/>
  <c r="Z91" i="5"/>
  <c r="Y91" i="5"/>
  <c r="W91" i="5"/>
  <c r="V91" i="5"/>
  <c r="T91" i="5"/>
  <c r="S91" i="5"/>
  <c r="R91" i="5"/>
  <c r="Q91" i="5"/>
  <c r="P91" i="5"/>
  <c r="O91" i="5"/>
  <c r="J91" i="5"/>
  <c r="AU90" i="5"/>
  <c r="AT90" i="5"/>
  <c r="AS90" i="5"/>
  <c r="AR90" i="5"/>
  <c r="AQ90" i="5"/>
  <c r="AP90" i="5"/>
  <c r="AO90" i="5"/>
  <c r="AN90" i="5"/>
  <c r="AM90" i="5"/>
  <c r="AL90" i="5"/>
  <c r="AK90" i="5"/>
  <c r="AI90" i="5"/>
  <c r="AH90" i="5"/>
  <c r="AG90" i="5"/>
  <c r="AF90" i="5"/>
  <c r="AE90" i="5"/>
  <c r="AD90" i="5"/>
  <c r="AC90" i="5"/>
  <c r="AB90" i="5"/>
  <c r="AA90" i="5"/>
  <c r="Z90" i="5"/>
  <c r="Y90" i="5"/>
  <c r="X90" i="5"/>
  <c r="W90" i="5"/>
  <c r="V90" i="5"/>
  <c r="U90" i="5"/>
  <c r="T90" i="5"/>
  <c r="S90" i="5"/>
  <c r="R90" i="5"/>
  <c r="Q90" i="5"/>
  <c r="P90" i="5"/>
  <c r="O90" i="5"/>
  <c r="N90" i="5"/>
  <c r="L90" i="5"/>
  <c r="J90" i="5"/>
  <c r="AJ90" i="5" s="1"/>
  <c r="AU89" i="5"/>
  <c r="AS89" i="5"/>
  <c r="AR89" i="5"/>
  <c r="AQ89" i="5"/>
  <c r="AP89" i="5"/>
  <c r="AO89" i="5"/>
  <c r="AN89" i="5"/>
  <c r="AM89" i="5"/>
  <c r="AL89" i="5"/>
  <c r="AK89" i="5"/>
  <c r="AJ89" i="5"/>
  <c r="AI89" i="5"/>
  <c r="AH89" i="5"/>
  <c r="AG89" i="5"/>
  <c r="AF89" i="5"/>
  <c r="AE89" i="5"/>
  <c r="AD89" i="5"/>
  <c r="AC89" i="5"/>
  <c r="AA89" i="5"/>
  <c r="Z89" i="5"/>
  <c r="Y89" i="5"/>
  <c r="X89" i="5"/>
  <c r="W89" i="5"/>
  <c r="V89" i="5"/>
  <c r="U89" i="5"/>
  <c r="T89" i="5"/>
  <c r="S89" i="5"/>
  <c r="R89" i="5"/>
  <c r="P89" i="5"/>
  <c r="O89" i="5"/>
  <c r="N89" i="5"/>
  <c r="M89" i="5"/>
  <c r="L89" i="5"/>
  <c r="J89" i="5"/>
  <c r="AT89" i="5" s="1"/>
  <c r="AU88" i="5"/>
  <c r="AT88" i="5"/>
  <c r="AS88" i="5"/>
  <c r="AR88" i="5"/>
  <c r="AQ88" i="5"/>
  <c r="AP88" i="5"/>
  <c r="AO88" i="5"/>
  <c r="AN88" i="5"/>
  <c r="AM88" i="5"/>
  <c r="AL88" i="5"/>
  <c r="AK88" i="5"/>
  <c r="AJ88" i="5"/>
  <c r="AI88" i="5"/>
  <c r="AH88" i="5"/>
  <c r="AG88" i="5"/>
  <c r="AF88" i="5"/>
  <c r="AE88" i="5"/>
  <c r="AD88" i="5"/>
  <c r="AC88" i="5"/>
  <c r="AB88" i="5"/>
  <c r="AA88" i="5"/>
  <c r="Z88" i="5"/>
  <c r="Y88" i="5"/>
  <c r="X88" i="5"/>
  <c r="W88" i="5"/>
  <c r="V88" i="5"/>
  <c r="T88" i="5"/>
  <c r="S88" i="5"/>
  <c r="R88" i="5"/>
  <c r="Q88" i="5"/>
  <c r="P88" i="5"/>
  <c r="O88" i="5"/>
  <c r="N88" i="5"/>
  <c r="M88" i="5"/>
  <c r="J88" i="5"/>
  <c r="AU87" i="5"/>
  <c r="AT87" i="5"/>
  <c r="AS87" i="5"/>
  <c r="AR87" i="5"/>
  <c r="AQ87" i="5"/>
  <c r="AP87" i="5"/>
  <c r="AO87" i="5"/>
  <c r="AN87" i="5"/>
  <c r="AM87" i="5"/>
  <c r="AL87" i="5"/>
  <c r="AK87" i="5"/>
  <c r="AJ87" i="5"/>
  <c r="AI87" i="5"/>
  <c r="AG87" i="5"/>
  <c r="AF87" i="5"/>
  <c r="AE87" i="5"/>
  <c r="AD87" i="5"/>
  <c r="AC87" i="5"/>
  <c r="AB87" i="5"/>
  <c r="AA87" i="5"/>
  <c r="Z87" i="5"/>
  <c r="Y87" i="5"/>
  <c r="X87" i="5"/>
  <c r="W87" i="5"/>
  <c r="U87" i="5"/>
  <c r="T87" i="5"/>
  <c r="S87" i="5"/>
  <c r="R87" i="5"/>
  <c r="Q87" i="5"/>
  <c r="P87" i="5"/>
  <c r="N87" i="5"/>
  <c r="M87" i="5"/>
  <c r="L87" i="5"/>
  <c r="AU86" i="5"/>
  <c r="AT86" i="5"/>
  <c r="AS86" i="5"/>
  <c r="AQ86" i="5"/>
  <c r="AP86" i="5"/>
  <c r="AO86" i="5"/>
  <c r="AN86" i="5"/>
  <c r="AM86" i="5"/>
  <c r="AK86" i="5"/>
  <c r="AJ86" i="5"/>
  <c r="AI86" i="5"/>
  <c r="AH86" i="5"/>
  <c r="AG86" i="5"/>
  <c r="AE86" i="5"/>
  <c r="AD86" i="5"/>
  <c r="AC86" i="5"/>
  <c r="AB86" i="5"/>
  <c r="AA86" i="5"/>
  <c r="Z86" i="5"/>
  <c r="Y86" i="5"/>
  <c r="X86" i="5"/>
  <c r="W86" i="5"/>
  <c r="V86" i="5"/>
  <c r="U86" i="5"/>
  <c r="Q86" i="5"/>
  <c r="P86" i="5"/>
  <c r="O86" i="5"/>
  <c r="N86" i="5"/>
  <c r="M86" i="5"/>
  <c r="L86" i="5"/>
  <c r="AT85" i="5"/>
  <c r="AS85" i="5"/>
  <c r="AR85" i="5"/>
  <c r="AQ85" i="5"/>
  <c r="AP85" i="5"/>
  <c r="AN85" i="5"/>
  <c r="AM85" i="5"/>
  <c r="AL85" i="5"/>
  <c r="AK85" i="5"/>
  <c r="AJ85" i="5"/>
  <c r="AH85" i="5"/>
  <c r="AG85" i="5"/>
  <c r="AF85" i="5"/>
  <c r="AE85" i="5"/>
  <c r="AD85" i="5"/>
  <c r="AB85" i="5"/>
  <c r="AA85" i="5"/>
  <c r="Y85" i="5"/>
  <c r="X85" i="5"/>
  <c r="V85" i="5"/>
  <c r="U85" i="5"/>
  <c r="Q85" i="5"/>
  <c r="P85" i="5"/>
  <c r="O85" i="5"/>
  <c r="N85" i="5"/>
  <c r="M85" i="5"/>
  <c r="L85" i="5"/>
  <c r="J85" i="5"/>
  <c r="AO85" i="5" s="1"/>
  <c r="AU84" i="5"/>
  <c r="AT84" i="5"/>
  <c r="AS84" i="5"/>
  <c r="AR84" i="5"/>
  <c r="AQ84" i="5"/>
  <c r="AP84" i="5"/>
  <c r="AO84" i="5"/>
  <c r="AN84" i="5"/>
  <c r="AM84" i="5"/>
  <c r="AL84" i="5"/>
  <c r="AK84" i="5"/>
  <c r="AI84" i="5"/>
  <c r="AH84" i="5"/>
  <c r="AG84" i="5"/>
  <c r="AF84" i="5"/>
  <c r="AE84" i="5"/>
  <c r="AD84" i="5"/>
  <c r="AC84" i="5"/>
  <c r="AB84" i="5"/>
  <c r="AA84" i="5"/>
  <c r="Z84" i="5"/>
  <c r="Y84" i="5"/>
  <c r="X84" i="5"/>
  <c r="W84" i="5"/>
  <c r="V84" i="5"/>
  <c r="U84" i="5"/>
  <c r="T84" i="5"/>
  <c r="S84" i="5"/>
  <c r="R84" i="5"/>
  <c r="Q84" i="5"/>
  <c r="P84" i="5"/>
  <c r="O84" i="5"/>
  <c r="N84" i="5"/>
  <c r="L84" i="5"/>
  <c r="J84" i="5"/>
  <c r="AJ84" i="5" s="1"/>
  <c r="AU83" i="5"/>
  <c r="AT83" i="5"/>
  <c r="AS83" i="5"/>
  <c r="AR83" i="5"/>
  <c r="AQ83" i="5"/>
  <c r="AP83" i="5"/>
  <c r="AN83" i="5"/>
  <c r="AM83" i="5"/>
  <c r="AL83" i="5"/>
  <c r="AK83" i="5"/>
  <c r="AJ83" i="5"/>
  <c r="AI83" i="5"/>
  <c r="AH83" i="5"/>
  <c r="AG83" i="5"/>
  <c r="AF83" i="5"/>
  <c r="AE83" i="5"/>
  <c r="AD83" i="5"/>
  <c r="AC83" i="5"/>
  <c r="AB83" i="5"/>
  <c r="AA83" i="5"/>
  <c r="Y83" i="5"/>
  <c r="X83" i="5"/>
  <c r="W83" i="5"/>
  <c r="V83" i="5"/>
  <c r="U83" i="5"/>
  <c r="T83" i="5"/>
  <c r="R83" i="5"/>
  <c r="Q83" i="5"/>
  <c r="P83" i="5"/>
  <c r="O83" i="5"/>
  <c r="N83" i="5"/>
  <c r="M83" i="5"/>
  <c r="L83" i="5"/>
  <c r="AU82" i="5"/>
  <c r="AT82" i="5"/>
  <c r="AS82" i="5"/>
  <c r="AQ82" i="5"/>
  <c r="AP82" i="5"/>
  <c r="AO82" i="5"/>
  <c r="AN82" i="5"/>
  <c r="AM82" i="5"/>
  <c r="AK82" i="5"/>
  <c r="AJ82" i="5"/>
  <c r="AI82" i="5"/>
  <c r="AH82" i="5"/>
  <c r="AG82" i="5"/>
  <c r="AE82" i="5"/>
  <c r="AD82" i="5"/>
  <c r="AC82" i="5"/>
  <c r="AB82" i="5"/>
  <c r="AA82" i="5"/>
  <c r="Z82" i="5"/>
  <c r="Y82" i="5"/>
  <c r="X82" i="5"/>
  <c r="W82" i="5"/>
  <c r="V82" i="5"/>
  <c r="U82" i="5"/>
  <c r="Q82" i="5"/>
  <c r="P82" i="5"/>
  <c r="O82" i="5"/>
  <c r="N82" i="5"/>
  <c r="M82" i="5"/>
  <c r="L82" i="5"/>
  <c r="AU81" i="5"/>
  <c r="AT81" i="5"/>
  <c r="AS81" i="5"/>
  <c r="AR81" i="5"/>
  <c r="AQ81" i="5"/>
  <c r="AP81" i="5"/>
  <c r="AO81" i="5"/>
  <c r="AN81" i="5"/>
  <c r="AM81" i="5"/>
  <c r="AL81" i="5"/>
  <c r="AJ81" i="5"/>
  <c r="AI81" i="5"/>
  <c r="AH81" i="5"/>
  <c r="AG81" i="5"/>
  <c r="AF81" i="5"/>
  <c r="AE81" i="5"/>
  <c r="AD81" i="5"/>
  <c r="AC81" i="5"/>
  <c r="AB81" i="5"/>
  <c r="AA81" i="5"/>
  <c r="Z81" i="5"/>
  <c r="Y81" i="5"/>
  <c r="X81" i="5"/>
  <c r="W81" i="5"/>
  <c r="V81" i="5"/>
  <c r="U81" i="5"/>
  <c r="T81" i="5"/>
  <c r="S81" i="5"/>
  <c r="R81" i="5"/>
  <c r="Q81" i="5"/>
  <c r="O81" i="5"/>
  <c r="N81" i="5"/>
  <c r="M81" i="5"/>
  <c r="L81" i="5"/>
  <c r="J81" i="5"/>
  <c r="AK81" i="5" s="1"/>
  <c r="AT80" i="5"/>
  <c r="AS80" i="5"/>
  <c r="AR80" i="5"/>
  <c r="AQ80" i="5"/>
  <c r="AP80" i="5"/>
  <c r="AN80" i="5"/>
  <c r="AM80" i="5"/>
  <c r="AL80" i="5"/>
  <c r="AK80" i="5"/>
  <c r="AJ80" i="5"/>
  <c r="AH80" i="5"/>
  <c r="AG80" i="5"/>
  <c r="AF80" i="5"/>
  <c r="AE80" i="5"/>
  <c r="AD80" i="5"/>
  <c r="AB80" i="5"/>
  <c r="AA80" i="5"/>
  <c r="Y80" i="5"/>
  <c r="X80" i="5"/>
  <c r="V80" i="5"/>
  <c r="U80" i="5"/>
  <c r="Q80" i="5"/>
  <c r="P80" i="5"/>
  <c r="O80" i="5"/>
  <c r="N80" i="5"/>
  <c r="M80" i="5"/>
  <c r="L80" i="5"/>
  <c r="AU79" i="5"/>
  <c r="AT79" i="5"/>
  <c r="AS79" i="5"/>
  <c r="AR79" i="5"/>
  <c r="AQ79" i="5"/>
  <c r="AP79" i="5"/>
  <c r="AN79" i="5"/>
  <c r="AM79" i="5"/>
  <c r="AL79" i="5"/>
  <c r="AK79" i="5"/>
  <c r="AJ79" i="5"/>
  <c r="AI79" i="5"/>
  <c r="AH79" i="5"/>
  <c r="AG79" i="5"/>
  <c r="AF79" i="5"/>
  <c r="AE79" i="5"/>
  <c r="AD79" i="5"/>
  <c r="AC79" i="5"/>
  <c r="AB79" i="5"/>
  <c r="AA79" i="5"/>
  <c r="Y79" i="5"/>
  <c r="X79" i="5"/>
  <c r="W79" i="5"/>
  <c r="V79" i="5"/>
  <c r="U79" i="5"/>
  <c r="T79" i="5"/>
  <c r="R79" i="5"/>
  <c r="Q79" i="5"/>
  <c r="P79" i="5"/>
  <c r="O79" i="5"/>
  <c r="N79" i="5"/>
  <c r="M79" i="5"/>
  <c r="L79" i="5"/>
  <c r="J79" i="5"/>
  <c r="AO79" i="5" s="1"/>
  <c r="AU78" i="5"/>
  <c r="AT78" i="5"/>
  <c r="AS78" i="5"/>
  <c r="AR78" i="5"/>
  <c r="AP78" i="5"/>
  <c r="AO78" i="5"/>
  <c r="AN78" i="5"/>
  <c r="AM78" i="5"/>
  <c r="AL78" i="5"/>
  <c r="AJ78" i="5"/>
  <c r="AI78" i="5"/>
  <c r="AH78" i="5"/>
  <c r="AG78" i="5"/>
  <c r="AF78" i="5"/>
  <c r="AD78" i="5"/>
  <c r="AC78" i="5"/>
  <c r="AB78" i="5"/>
  <c r="AA78" i="5"/>
  <c r="Z78" i="5"/>
  <c r="Y78" i="5"/>
  <c r="X78" i="5"/>
  <c r="W78" i="5"/>
  <c r="V78" i="5"/>
  <c r="U78" i="5"/>
  <c r="T78" i="5"/>
  <c r="S78" i="5"/>
  <c r="R78" i="5"/>
  <c r="N78" i="5"/>
  <c r="M78" i="5"/>
  <c r="L78" i="5"/>
  <c r="AU77" i="5"/>
  <c r="AT77" i="5"/>
  <c r="AS77" i="5"/>
  <c r="AR77" i="5"/>
  <c r="AP77" i="5"/>
  <c r="AO77" i="5"/>
  <c r="AN77" i="5"/>
  <c r="AM77" i="5"/>
  <c r="AL77" i="5"/>
  <c r="AJ77" i="5"/>
  <c r="AI77" i="5"/>
  <c r="AH77" i="5"/>
  <c r="AG77" i="5"/>
  <c r="AF77" i="5"/>
  <c r="AD77" i="5"/>
  <c r="AC77" i="5"/>
  <c r="AB77" i="5"/>
  <c r="AA77" i="5"/>
  <c r="Z77" i="5"/>
  <c r="Y77" i="5"/>
  <c r="X77" i="5"/>
  <c r="W77" i="5"/>
  <c r="V77" i="5"/>
  <c r="U77" i="5"/>
  <c r="T77" i="5"/>
  <c r="S77" i="5"/>
  <c r="R77" i="5"/>
  <c r="N77" i="5"/>
  <c r="M77" i="5"/>
  <c r="L77" i="5"/>
  <c r="AU76" i="5"/>
  <c r="AT76" i="5"/>
  <c r="AS76" i="5"/>
  <c r="AR76" i="5"/>
  <c r="AQ76" i="5"/>
  <c r="AP76" i="5"/>
  <c r="AO76" i="5"/>
  <c r="AN76" i="5"/>
  <c r="AM76" i="5"/>
  <c r="AL76" i="5"/>
  <c r="AK76" i="5"/>
  <c r="AJ76" i="5"/>
  <c r="AI76" i="5"/>
  <c r="AH76" i="5"/>
  <c r="AG76" i="5"/>
  <c r="AF76" i="5"/>
  <c r="AE76" i="5"/>
  <c r="AC76" i="5"/>
  <c r="AB76" i="5"/>
  <c r="AA76" i="5"/>
  <c r="Z76" i="5"/>
  <c r="Y76" i="5"/>
  <c r="X76" i="5"/>
  <c r="W76" i="5"/>
  <c r="V76" i="5"/>
  <c r="U76" i="5"/>
  <c r="T76" i="5"/>
  <c r="S76" i="5"/>
  <c r="R76" i="5"/>
  <c r="Q76" i="5"/>
  <c r="P76" i="5"/>
  <c r="O76" i="5"/>
  <c r="N76" i="5"/>
  <c r="M76" i="5"/>
  <c r="AU75" i="5"/>
  <c r="AT75" i="5"/>
  <c r="AS75" i="5"/>
  <c r="AR75" i="5"/>
  <c r="AQ75" i="5"/>
  <c r="AP75" i="5"/>
  <c r="AO75" i="5"/>
  <c r="AN75" i="5"/>
  <c r="AM75" i="5"/>
  <c r="AL75" i="5"/>
  <c r="AK75" i="5"/>
  <c r="AJ75" i="5"/>
  <c r="AI75" i="5"/>
  <c r="AH75" i="5"/>
  <c r="AG75" i="5"/>
  <c r="AF75" i="5"/>
  <c r="AE75" i="5"/>
  <c r="AD75" i="5"/>
  <c r="AC75" i="5"/>
  <c r="AB75" i="5"/>
  <c r="AA75" i="5"/>
  <c r="Z75" i="5"/>
  <c r="Y75" i="5"/>
  <c r="X75" i="5"/>
  <c r="W75" i="5"/>
  <c r="V75" i="5"/>
  <c r="U75" i="5"/>
  <c r="T75" i="5"/>
  <c r="S75" i="5"/>
  <c r="R75" i="5"/>
  <c r="Q75" i="5"/>
  <c r="P75" i="5"/>
  <c r="O75" i="5"/>
  <c r="J75" i="5"/>
  <c r="AU74" i="5"/>
  <c r="AT74" i="5"/>
  <c r="AS74" i="5"/>
  <c r="AR74" i="5"/>
  <c r="AQ74" i="5"/>
  <c r="AP74" i="5"/>
  <c r="AO74" i="5"/>
  <c r="AN74" i="5"/>
  <c r="AM74" i="5"/>
  <c r="AL74" i="5"/>
  <c r="AK74" i="5"/>
  <c r="AJ74" i="5"/>
  <c r="AI74" i="5"/>
  <c r="AH74" i="5"/>
  <c r="AG74" i="5"/>
  <c r="AE74" i="5"/>
  <c r="AD74" i="5"/>
  <c r="AC74" i="5"/>
  <c r="AB74" i="5"/>
  <c r="AA74" i="5"/>
  <c r="Z74" i="5"/>
  <c r="Y74" i="5"/>
  <c r="X74" i="5"/>
  <c r="W74" i="5"/>
  <c r="V74" i="5"/>
  <c r="U74" i="5"/>
  <c r="T74" i="5"/>
  <c r="S74" i="5"/>
  <c r="Q74" i="5"/>
  <c r="P74" i="5"/>
  <c r="O74" i="5"/>
  <c r="N74" i="5"/>
  <c r="M74" i="5"/>
  <c r="L74" i="5"/>
  <c r="AU73" i="5"/>
  <c r="AT73" i="5"/>
  <c r="AS73" i="5"/>
  <c r="AQ73" i="5"/>
  <c r="AP73" i="5"/>
  <c r="AO73" i="5"/>
  <c r="AN73" i="5"/>
  <c r="AM73" i="5"/>
  <c r="AK73" i="5"/>
  <c r="AJ73" i="5"/>
  <c r="AI73" i="5"/>
  <c r="AH73" i="5"/>
  <c r="AG73" i="5"/>
  <c r="AE73" i="5"/>
  <c r="AD73" i="5"/>
  <c r="AC73" i="5"/>
  <c r="AB73" i="5"/>
  <c r="AA73" i="5"/>
  <c r="Z73" i="5"/>
  <c r="Y73" i="5"/>
  <c r="X73" i="5"/>
  <c r="W73" i="5"/>
  <c r="V73" i="5"/>
  <c r="U73" i="5"/>
  <c r="Q73" i="5"/>
  <c r="P73" i="5"/>
  <c r="O73" i="5"/>
  <c r="N73" i="5"/>
  <c r="M73" i="5"/>
  <c r="L73" i="5"/>
  <c r="AU72" i="5"/>
  <c r="AT72" i="5"/>
  <c r="AS72" i="5"/>
  <c r="AR72" i="5"/>
  <c r="AP72" i="5"/>
  <c r="AO72" i="5"/>
  <c r="AN72" i="5"/>
  <c r="AM72" i="5"/>
  <c r="AL72" i="5"/>
  <c r="AJ72" i="5"/>
  <c r="AI72" i="5"/>
  <c r="AH72" i="5"/>
  <c r="AG72" i="5"/>
  <c r="AF72" i="5"/>
  <c r="AD72" i="5"/>
  <c r="AC72" i="5"/>
  <c r="AB72" i="5"/>
  <c r="AA72" i="5"/>
  <c r="Z72" i="5"/>
  <c r="Y72" i="5"/>
  <c r="X72" i="5"/>
  <c r="W72" i="5"/>
  <c r="V72" i="5"/>
  <c r="U72" i="5"/>
  <c r="T72" i="5"/>
  <c r="S72" i="5"/>
  <c r="R72" i="5"/>
  <c r="N72" i="5"/>
  <c r="M72" i="5"/>
  <c r="L72" i="5"/>
  <c r="AU71" i="5"/>
  <c r="AT71" i="5"/>
  <c r="AS71" i="5"/>
  <c r="AR71" i="5"/>
  <c r="AQ71" i="5"/>
  <c r="AP71" i="5"/>
  <c r="AO71" i="5"/>
  <c r="AN71" i="5"/>
  <c r="AM71" i="5"/>
  <c r="AL71" i="5"/>
  <c r="AK71" i="5"/>
  <c r="AJ71" i="5"/>
  <c r="AI71" i="5"/>
  <c r="AH71" i="5"/>
  <c r="AG71" i="5"/>
  <c r="AF71" i="5"/>
  <c r="AD71" i="5"/>
  <c r="AC71" i="5"/>
  <c r="AB71" i="5"/>
  <c r="AA71" i="5"/>
  <c r="Z71" i="5"/>
  <c r="Y71" i="5"/>
  <c r="X71" i="5"/>
  <c r="W71" i="5"/>
  <c r="V71" i="5"/>
  <c r="U71" i="5"/>
  <c r="T71" i="5"/>
  <c r="S71" i="5"/>
  <c r="R71" i="5"/>
  <c r="Q71" i="5"/>
  <c r="P71" i="5"/>
  <c r="N71" i="5"/>
  <c r="M71" i="5"/>
  <c r="L71" i="5"/>
  <c r="AU70" i="5"/>
  <c r="AT70" i="5"/>
  <c r="AR70" i="5"/>
  <c r="AQ70" i="5"/>
  <c r="AP70" i="5"/>
  <c r="AO70" i="5"/>
  <c r="AN70" i="5"/>
  <c r="AL70" i="5"/>
  <c r="AK70" i="5"/>
  <c r="AJ70" i="5"/>
  <c r="AI70" i="5"/>
  <c r="AH70" i="5"/>
  <c r="AF70" i="5"/>
  <c r="AE70" i="5"/>
  <c r="AD70" i="5"/>
  <c r="AC70" i="5"/>
  <c r="AB70" i="5"/>
  <c r="Z70" i="5"/>
  <c r="Y70" i="5"/>
  <c r="W70" i="5"/>
  <c r="V70" i="5"/>
  <c r="T70" i="5"/>
  <c r="S70" i="5"/>
  <c r="R70" i="5"/>
  <c r="Q70" i="5"/>
  <c r="P70" i="5"/>
  <c r="O70" i="5"/>
  <c r="AU69" i="5"/>
  <c r="AT69" i="5"/>
  <c r="AS69" i="5"/>
  <c r="AR69" i="5"/>
  <c r="AQ69" i="5"/>
  <c r="AP69" i="5"/>
  <c r="AN69" i="5"/>
  <c r="AM69" i="5"/>
  <c r="AL69" i="5"/>
  <c r="AK69" i="5"/>
  <c r="AJ69" i="5"/>
  <c r="AI69" i="5"/>
  <c r="AH69" i="5"/>
  <c r="AG69" i="5"/>
  <c r="AF69" i="5"/>
  <c r="AE69" i="5"/>
  <c r="AD69" i="5"/>
  <c r="AC69" i="5"/>
  <c r="AB69" i="5"/>
  <c r="AA69" i="5"/>
  <c r="Y69" i="5"/>
  <c r="X69" i="5"/>
  <c r="W69" i="5"/>
  <c r="V69" i="5"/>
  <c r="U69" i="5"/>
  <c r="T69" i="5"/>
  <c r="R69" i="5"/>
  <c r="Q69" i="5"/>
  <c r="P69" i="5"/>
  <c r="O69" i="5"/>
  <c r="N69" i="5"/>
  <c r="M69" i="5"/>
  <c r="L69" i="5"/>
  <c r="AU68" i="5"/>
  <c r="AT68" i="5"/>
  <c r="AS68" i="5"/>
  <c r="AQ68" i="5"/>
  <c r="AP68" i="5"/>
  <c r="AO68" i="5"/>
  <c r="AN68" i="5"/>
  <c r="AM68" i="5"/>
  <c r="AK68" i="5"/>
  <c r="AJ68" i="5"/>
  <c r="AI68" i="5"/>
  <c r="AH68" i="5"/>
  <c r="AG68" i="5"/>
  <c r="AE68" i="5"/>
  <c r="AD68" i="5"/>
  <c r="AC68" i="5"/>
  <c r="AB68" i="5"/>
  <c r="AA68" i="5"/>
  <c r="Z68" i="5"/>
  <c r="Y68" i="5"/>
  <c r="X68" i="5"/>
  <c r="W68" i="5"/>
  <c r="V68" i="5"/>
  <c r="U68" i="5"/>
  <c r="Q68" i="5"/>
  <c r="P68" i="5"/>
  <c r="O68" i="5"/>
  <c r="N68" i="5"/>
  <c r="M68" i="5"/>
  <c r="L68" i="5"/>
  <c r="AU67" i="5"/>
  <c r="AT67" i="5"/>
  <c r="AS67" i="5"/>
  <c r="AR67" i="5"/>
  <c r="AP67" i="5"/>
  <c r="AO67" i="5"/>
  <c r="AN67" i="5"/>
  <c r="AM67" i="5"/>
  <c r="AL67" i="5"/>
  <c r="AJ67" i="5"/>
  <c r="AI67" i="5"/>
  <c r="AH67" i="5"/>
  <c r="AG67" i="5"/>
  <c r="AF67" i="5"/>
  <c r="AD67" i="5"/>
  <c r="AC67" i="5"/>
  <c r="AB67" i="5"/>
  <c r="AA67" i="5"/>
  <c r="Z67" i="5"/>
  <c r="Y67" i="5"/>
  <c r="X67" i="5"/>
  <c r="W67" i="5"/>
  <c r="V67" i="5"/>
  <c r="U67" i="5"/>
  <c r="T67" i="5"/>
  <c r="S67" i="5"/>
  <c r="R67" i="5"/>
  <c r="N67" i="5"/>
  <c r="M67" i="5"/>
  <c r="L67" i="5"/>
  <c r="AU66" i="5"/>
  <c r="AT66" i="5"/>
  <c r="AS66" i="5"/>
  <c r="AQ66" i="5"/>
  <c r="AP66" i="5"/>
  <c r="AO66" i="5"/>
  <c r="AN66" i="5"/>
  <c r="AM66" i="5"/>
  <c r="AK66" i="5"/>
  <c r="AJ66" i="5"/>
  <c r="AI66" i="5"/>
  <c r="AH66" i="5"/>
  <c r="AG66" i="5"/>
  <c r="AE66" i="5"/>
  <c r="AD66" i="5"/>
  <c r="AC66" i="5"/>
  <c r="AB66" i="5"/>
  <c r="AA66" i="5"/>
  <c r="Z66" i="5"/>
  <c r="Y66" i="5"/>
  <c r="X66" i="5"/>
  <c r="W66" i="5"/>
  <c r="V66" i="5"/>
  <c r="U66" i="5"/>
  <c r="Q66" i="5"/>
  <c r="P66" i="5"/>
  <c r="O66" i="5"/>
  <c r="N66" i="5"/>
  <c r="M66" i="5"/>
  <c r="L66" i="5"/>
  <c r="AU65" i="5"/>
  <c r="AT65" i="5"/>
  <c r="AS65" i="5"/>
  <c r="AR65" i="5"/>
  <c r="AP65" i="5"/>
  <c r="AO65" i="5"/>
  <c r="AN65" i="5"/>
  <c r="AM65" i="5"/>
  <c r="AL65" i="5"/>
  <c r="AJ65" i="5"/>
  <c r="AI65" i="5"/>
  <c r="AH65" i="5"/>
  <c r="AG65" i="5"/>
  <c r="AF65" i="5"/>
  <c r="AD65" i="5"/>
  <c r="AC65" i="5"/>
  <c r="AB65" i="5"/>
  <c r="AA65" i="5"/>
  <c r="Z65" i="5"/>
  <c r="Y65" i="5"/>
  <c r="X65" i="5"/>
  <c r="W65" i="5"/>
  <c r="V65" i="5"/>
  <c r="U65" i="5"/>
  <c r="T65" i="5"/>
  <c r="S65" i="5"/>
  <c r="R65" i="5"/>
  <c r="N65" i="5"/>
  <c r="M65" i="5"/>
  <c r="L65" i="5"/>
  <c r="AU64" i="5"/>
  <c r="AT64" i="5"/>
  <c r="AS64" i="5"/>
  <c r="AR64" i="5"/>
  <c r="AQ64" i="5"/>
  <c r="AO64" i="5"/>
  <c r="AN64" i="5"/>
  <c r="AM64" i="5"/>
  <c r="AL64" i="5"/>
  <c r="AK64" i="5"/>
  <c r="AI64" i="5"/>
  <c r="AH64" i="5"/>
  <c r="AG64" i="5"/>
  <c r="AF64" i="5"/>
  <c r="AE64" i="5"/>
  <c r="AC64" i="5"/>
  <c r="AB64" i="5"/>
  <c r="AA64" i="5"/>
  <c r="Z64" i="5"/>
  <c r="Y64" i="5"/>
  <c r="X64" i="5"/>
  <c r="W64" i="5"/>
  <c r="V64" i="5"/>
  <c r="U64" i="5"/>
  <c r="T64" i="5"/>
  <c r="S64" i="5"/>
  <c r="R64" i="5"/>
  <c r="Q64" i="5"/>
  <c r="P64" i="5"/>
  <c r="O64" i="5"/>
  <c r="AT63" i="5"/>
  <c r="AS63" i="5"/>
  <c r="AR63" i="5"/>
  <c r="AQ63" i="5"/>
  <c r="AP63" i="5"/>
  <c r="AN63" i="5"/>
  <c r="AM63" i="5"/>
  <c r="AL63" i="5"/>
  <c r="AK63" i="5"/>
  <c r="AJ63" i="5"/>
  <c r="AH63" i="5"/>
  <c r="AG63" i="5"/>
  <c r="AF63" i="5"/>
  <c r="AE63" i="5"/>
  <c r="AD63" i="5"/>
  <c r="AB63" i="5"/>
  <c r="AA63" i="5"/>
  <c r="Y63" i="5"/>
  <c r="X63" i="5"/>
  <c r="V63" i="5"/>
  <c r="U63" i="5"/>
  <c r="Q63" i="5"/>
  <c r="P63" i="5"/>
  <c r="O63" i="5"/>
  <c r="N63" i="5"/>
  <c r="M63" i="5"/>
  <c r="L63" i="5"/>
  <c r="AU62" i="5"/>
  <c r="AS62" i="5"/>
  <c r="AR62" i="5"/>
  <c r="AQ62" i="5"/>
  <c r="AP62" i="5"/>
  <c r="AO62" i="5"/>
  <c r="AM62" i="5"/>
  <c r="AL62" i="5"/>
  <c r="AK62" i="5"/>
  <c r="AJ62" i="5"/>
  <c r="AI62" i="5"/>
  <c r="AG62" i="5"/>
  <c r="AF62" i="5"/>
  <c r="AE62" i="5"/>
  <c r="AD62" i="5"/>
  <c r="AC62" i="5"/>
  <c r="AA62" i="5"/>
  <c r="Z62" i="5"/>
  <c r="X62" i="5"/>
  <c r="W62" i="5"/>
  <c r="U62" i="5"/>
  <c r="T62" i="5"/>
  <c r="S62" i="5"/>
  <c r="R62" i="5"/>
  <c r="N62" i="5"/>
  <c r="M62" i="5"/>
  <c r="L62" i="5"/>
  <c r="AU61" i="5"/>
  <c r="AT61" i="5"/>
  <c r="AR61" i="5"/>
  <c r="AQ61" i="5"/>
  <c r="AP61" i="5"/>
  <c r="AO61" i="5"/>
  <c r="AN61" i="5"/>
  <c r="AL61" i="5"/>
  <c r="AK61" i="5"/>
  <c r="AJ61" i="5"/>
  <c r="AI61" i="5"/>
  <c r="AH61" i="5"/>
  <c r="AF61" i="5"/>
  <c r="AE61" i="5"/>
  <c r="AD61" i="5"/>
  <c r="AC61" i="5"/>
  <c r="AB61" i="5"/>
  <c r="Z61" i="5"/>
  <c r="Y61" i="5"/>
  <c r="W61" i="5"/>
  <c r="V61" i="5"/>
  <c r="T61" i="5"/>
  <c r="S61" i="5"/>
  <c r="R61" i="5"/>
  <c r="Q61" i="5"/>
  <c r="P61" i="5"/>
  <c r="O61" i="5"/>
  <c r="AU60" i="5"/>
  <c r="AT60" i="5"/>
  <c r="AS60" i="5"/>
  <c r="AR60" i="5"/>
  <c r="AQ60" i="5"/>
  <c r="AO60" i="5"/>
  <c r="AN60" i="5"/>
  <c r="AM60" i="5"/>
  <c r="AL60" i="5"/>
  <c r="AK60" i="5"/>
  <c r="AI60" i="5"/>
  <c r="AH60" i="5"/>
  <c r="AG60" i="5"/>
  <c r="AF60" i="5"/>
  <c r="AE60" i="5"/>
  <c r="AC60" i="5"/>
  <c r="AB60" i="5"/>
  <c r="AA60" i="5"/>
  <c r="Z60" i="5"/>
  <c r="Y60" i="5"/>
  <c r="X60" i="5"/>
  <c r="W60" i="5"/>
  <c r="V60" i="5"/>
  <c r="U60" i="5"/>
  <c r="T60" i="5"/>
  <c r="S60" i="5"/>
  <c r="R60" i="5"/>
  <c r="Q60" i="5"/>
  <c r="P60" i="5"/>
  <c r="O60" i="5"/>
  <c r="AU59" i="5"/>
  <c r="AT59" i="5"/>
  <c r="AS59" i="5"/>
  <c r="AR59" i="5"/>
  <c r="AQ59" i="5"/>
  <c r="AP59" i="5"/>
  <c r="AO59" i="5"/>
  <c r="AN59" i="5"/>
  <c r="AM59" i="5"/>
  <c r="AL59" i="5"/>
  <c r="AJ59" i="5"/>
  <c r="AI59" i="5"/>
  <c r="AH59" i="5"/>
  <c r="AG59" i="5"/>
  <c r="AF59" i="5"/>
  <c r="AE59" i="5"/>
  <c r="AD59" i="5"/>
  <c r="AC59" i="5"/>
  <c r="AB59" i="5"/>
  <c r="AA59" i="5"/>
  <c r="Z59" i="5"/>
  <c r="Y59" i="5"/>
  <c r="X59" i="5"/>
  <c r="W59" i="5"/>
  <c r="V59" i="5"/>
  <c r="U59" i="5"/>
  <c r="T59" i="5"/>
  <c r="S59" i="5"/>
  <c r="R59" i="5"/>
  <c r="Q59" i="5"/>
  <c r="O59" i="5"/>
  <c r="N59" i="5"/>
  <c r="M59" i="5"/>
  <c r="L59" i="5"/>
  <c r="AU58" i="5"/>
  <c r="AT58" i="5"/>
  <c r="AS58" i="5"/>
  <c r="AR58" i="5"/>
  <c r="AQ58" i="5"/>
  <c r="AP58" i="5"/>
  <c r="AO58" i="5"/>
  <c r="AN58" i="5"/>
  <c r="AM58" i="5"/>
  <c r="AL58" i="5"/>
  <c r="AJ58" i="5"/>
  <c r="AI58" i="5"/>
  <c r="AH58" i="5"/>
  <c r="AG58" i="5"/>
  <c r="AF58" i="5"/>
  <c r="AE58" i="5"/>
  <c r="AD58" i="5"/>
  <c r="AC58" i="5"/>
  <c r="AB58" i="5"/>
  <c r="AA58" i="5"/>
  <c r="Z58" i="5"/>
  <c r="Y58" i="5"/>
  <c r="X58" i="5"/>
  <c r="W58" i="5"/>
  <c r="V58" i="5"/>
  <c r="U58" i="5"/>
  <c r="T58" i="5"/>
  <c r="S58" i="5"/>
  <c r="R58" i="5"/>
  <c r="Q58" i="5"/>
  <c r="O58" i="5"/>
  <c r="N58" i="5"/>
  <c r="M58" i="5"/>
  <c r="L58" i="5"/>
  <c r="J58" i="5"/>
  <c r="AK58" i="5" s="1"/>
  <c r="AU57" i="5"/>
  <c r="AT57" i="5"/>
  <c r="AS57" i="5"/>
  <c r="AR57" i="5"/>
  <c r="AQ57" i="5"/>
  <c r="AP57" i="5"/>
  <c r="AO57" i="5"/>
  <c r="AN57" i="5"/>
  <c r="AM57" i="5"/>
  <c r="AL57" i="5"/>
  <c r="AK57" i="5"/>
  <c r="AJ57" i="5"/>
  <c r="AI57" i="5"/>
  <c r="AH57" i="5"/>
  <c r="AF57" i="5"/>
  <c r="AE57" i="5"/>
  <c r="AD57" i="5"/>
  <c r="AC57" i="5"/>
  <c r="AB57" i="5"/>
  <c r="AA57" i="5"/>
  <c r="Z57" i="5"/>
  <c r="Y57" i="5"/>
  <c r="X57" i="5"/>
  <c r="W57" i="5"/>
  <c r="V57" i="5"/>
  <c r="T57" i="5"/>
  <c r="S57" i="5"/>
  <c r="R57" i="5"/>
  <c r="Q57" i="5"/>
  <c r="P57" i="5"/>
  <c r="O57" i="5"/>
  <c r="N57" i="5"/>
  <c r="M57" i="5"/>
  <c r="AU56" i="5"/>
  <c r="AT56" i="5"/>
  <c r="AS56" i="5"/>
  <c r="AR56" i="5"/>
  <c r="AQ56" i="5"/>
  <c r="AP56" i="5"/>
  <c r="AO56" i="5"/>
  <c r="AN56" i="5"/>
  <c r="AM56" i="5"/>
  <c r="AL56" i="5"/>
  <c r="AK56" i="5"/>
  <c r="AJ56" i="5"/>
  <c r="AI56" i="5"/>
  <c r="AH56" i="5"/>
  <c r="AG56" i="5"/>
  <c r="AF56" i="5"/>
  <c r="AE56" i="5"/>
  <c r="AD56" i="5"/>
  <c r="AC56" i="5"/>
  <c r="AB56" i="5"/>
  <c r="AA56" i="5"/>
  <c r="Z56" i="5"/>
  <c r="Y56" i="5"/>
  <c r="X56" i="5"/>
  <c r="W56" i="5"/>
  <c r="V56" i="5"/>
  <c r="U56" i="5"/>
  <c r="S56" i="5"/>
  <c r="R56" i="5"/>
  <c r="Q56" i="5"/>
  <c r="P56" i="5"/>
  <c r="O56" i="5"/>
  <c r="N56" i="5"/>
  <c r="M56" i="5"/>
  <c r="L56" i="5"/>
  <c r="J56" i="5"/>
  <c r="AU55" i="5"/>
  <c r="AT55" i="5"/>
  <c r="AS55" i="5"/>
  <c r="AR55" i="5"/>
  <c r="AQ55" i="5"/>
  <c r="AP55" i="5"/>
  <c r="AO55" i="5"/>
  <c r="AN55" i="5"/>
  <c r="AM55" i="5"/>
  <c r="AL55" i="5"/>
  <c r="AK55" i="5"/>
  <c r="AI55" i="5"/>
  <c r="AH55" i="5"/>
  <c r="AG55" i="5"/>
  <c r="AF55" i="5"/>
  <c r="AE55" i="5"/>
  <c r="AD55" i="5"/>
  <c r="AC55" i="5"/>
  <c r="AB55" i="5"/>
  <c r="AA55" i="5"/>
  <c r="Z55" i="5"/>
  <c r="Y55" i="5"/>
  <c r="X55" i="5"/>
  <c r="W55" i="5"/>
  <c r="V55" i="5"/>
  <c r="U55" i="5"/>
  <c r="T55" i="5"/>
  <c r="S55" i="5"/>
  <c r="R55" i="5"/>
  <c r="Q55" i="5"/>
  <c r="P55" i="5"/>
  <c r="O55" i="5"/>
  <c r="N55" i="5"/>
  <c r="L55" i="5"/>
  <c r="J55" i="5"/>
  <c r="AJ55" i="5" s="1"/>
  <c r="AU54" i="5"/>
  <c r="AT54" i="5"/>
  <c r="AS54" i="5"/>
  <c r="AR54" i="5"/>
  <c r="AQ54" i="5"/>
  <c r="AP54" i="5"/>
  <c r="AO54" i="5"/>
  <c r="AN54" i="5"/>
  <c r="AM54" i="5"/>
  <c r="AL54" i="5"/>
  <c r="AK54" i="5"/>
  <c r="AJ54" i="5"/>
  <c r="AI54" i="5"/>
  <c r="AH54" i="5"/>
  <c r="AG54" i="5"/>
  <c r="AF54" i="5"/>
  <c r="AD54" i="5"/>
  <c r="AC54" i="5"/>
  <c r="AB54" i="5"/>
  <c r="AA54" i="5"/>
  <c r="Z54" i="5"/>
  <c r="Y54" i="5"/>
  <c r="X54" i="5"/>
  <c r="W54" i="5"/>
  <c r="V54" i="5"/>
  <c r="U54" i="5"/>
  <c r="T54" i="5"/>
  <c r="S54" i="5"/>
  <c r="R54" i="5"/>
  <c r="Q54" i="5"/>
  <c r="P54" i="5"/>
  <c r="N54" i="5"/>
  <c r="M54" i="5"/>
  <c r="L54" i="5"/>
  <c r="AU53" i="5"/>
  <c r="AT53" i="5"/>
  <c r="AS53" i="5"/>
  <c r="AR53" i="5"/>
  <c r="AQ53" i="5"/>
  <c r="AP53" i="5"/>
  <c r="AO53" i="5"/>
  <c r="AM53" i="5"/>
  <c r="AL53" i="5"/>
  <c r="AK53" i="5"/>
  <c r="AJ53" i="5"/>
  <c r="AI53" i="5"/>
  <c r="AH53" i="5"/>
  <c r="AG53" i="5"/>
  <c r="AF53" i="5"/>
  <c r="AE53" i="5"/>
  <c r="AD53" i="5"/>
  <c r="AC53" i="5"/>
  <c r="AB53" i="5"/>
  <c r="AA53" i="5"/>
  <c r="Z53" i="5"/>
  <c r="X53" i="5"/>
  <c r="W53" i="5"/>
  <c r="V53" i="5"/>
  <c r="U53" i="5"/>
  <c r="T53" i="5"/>
  <c r="S53" i="5"/>
  <c r="R53" i="5"/>
  <c r="Q53" i="5"/>
  <c r="O53" i="5"/>
  <c r="N53" i="5"/>
  <c r="M53" i="5"/>
  <c r="L53" i="5"/>
  <c r="AU52" i="5"/>
  <c r="AT52" i="5"/>
  <c r="AS52" i="5"/>
  <c r="AR52" i="5"/>
  <c r="AQ52" i="5"/>
  <c r="AP52" i="5"/>
  <c r="AO52" i="5"/>
  <c r="AN52" i="5"/>
  <c r="AM52" i="5"/>
  <c r="AL52" i="5"/>
  <c r="AK52" i="5"/>
  <c r="AI52" i="5"/>
  <c r="AH52" i="5"/>
  <c r="AG52" i="5"/>
  <c r="AF52" i="5"/>
  <c r="AE52" i="5"/>
  <c r="AD52" i="5"/>
  <c r="AC52" i="5"/>
  <c r="AB52" i="5"/>
  <c r="AA52" i="5"/>
  <c r="Z52" i="5"/>
  <c r="Y52" i="5"/>
  <c r="X52" i="5"/>
  <c r="W52" i="5"/>
  <c r="V52" i="5"/>
  <c r="U52" i="5"/>
  <c r="T52" i="5"/>
  <c r="S52" i="5"/>
  <c r="R52" i="5"/>
  <c r="Q52" i="5"/>
  <c r="P52" i="5"/>
  <c r="O52" i="5"/>
  <c r="N52" i="5"/>
  <c r="L52" i="5"/>
  <c r="AU51" i="5"/>
  <c r="AT51" i="5"/>
  <c r="AS51" i="5"/>
  <c r="AR51" i="5"/>
  <c r="AQ51" i="5"/>
  <c r="AO51" i="5"/>
  <c r="AN51" i="5"/>
  <c r="AM51" i="5"/>
  <c r="AL51" i="5"/>
  <c r="AK51" i="5"/>
  <c r="AI51" i="5"/>
  <c r="AH51" i="5"/>
  <c r="AG51" i="5"/>
  <c r="AF51" i="5"/>
  <c r="AE51" i="5"/>
  <c r="AC51" i="5"/>
  <c r="AB51" i="5"/>
  <c r="AA51" i="5"/>
  <c r="Z51" i="5"/>
  <c r="Y51" i="5"/>
  <c r="X51" i="5"/>
  <c r="W51" i="5"/>
  <c r="V51" i="5"/>
  <c r="U51" i="5"/>
  <c r="T51" i="5"/>
  <c r="S51" i="5"/>
  <c r="R51" i="5"/>
  <c r="Q51" i="5"/>
  <c r="P51" i="5"/>
  <c r="O51" i="5"/>
  <c r="AU50" i="5"/>
  <c r="AT50" i="5"/>
  <c r="AS50" i="5"/>
  <c r="AR50" i="5"/>
  <c r="AQ50" i="5"/>
  <c r="AP50" i="5"/>
  <c r="AO50" i="5"/>
  <c r="AN50" i="5"/>
  <c r="AM50" i="5"/>
  <c r="AK50" i="5"/>
  <c r="AJ50" i="5"/>
  <c r="AI50" i="5"/>
  <c r="AH50" i="5"/>
  <c r="AG50" i="5"/>
  <c r="AF50" i="5"/>
  <c r="AE50" i="5"/>
  <c r="AD50" i="5"/>
  <c r="AC50" i="5"/>
  <c r="AB50" i="5"/>
  <c r="AA50" i="5"/>
  <c r="Z50" i="5"/>
  <c r="Y50" i="5"/>
  <c r="X50" i="5"/>
  <c r="W50" i="5"/>
  <c r="V50" i="5"/>
  <c r="U50" i="5"/>
  <c r="T50" i="5"/>
  <c r="R50" i="5"/>
  <c r="Q50" i="5"/>
  <c r="P50" i="5"/>
  <c r="O50" i="5"/>
  <c r="N50" i="5"/>
  <c r="M50" i="5"/>
  <c r="L50" i="5"/>
  <c r="AU49" i="5"/>
  <c r="AS49" i="5"/>
  <c r="AR49" i="5"/>
  <c r="AQ49" i="5"/>
  <c r="AP49" i="5"/>
  <c r="AO49" i="5"/>
  <c r="AM49" i="5"/>
  <c r="AL49" i="5"/>
  <c r="AK49" i="5"/>
  <c r="AJ49" i="5"/>
  <c r="AI49" i="5"/>
  <c r="AG49" i="5"/>
  <c r="AF49" i="5"/>
  <c r="AE49" i="5"/>
  <c r="AD49" i="5"/>
  <c r="AC49" i="5"/>
  <c r="AA49" i="5"/>
  <c r="Z49" i="5"/>
  <c r="X49" i="5"/>
  <c r="W49" i="5"/>
  <c r="U49" i="5"/>
  <c r="T49" i="5"/>
  <c r="S49" i="5"/>
  <c r="R49" i="5"/>
  <c r="N49" i="5"/>
  <c r="M49" i="5"/>
  <c r="L49" i="5"/>
  <c r="AU48" i="5"/>
  <c r="AT48" i="5"/>
  <c r="AS48" i="5"/>
  <c r="AR48" i="5"/>
  <c r="AQ48" i="5"/>
  <c r="AP48" i="5"/>
  <c r="AO48" i="5"/>
  <c r="AN48" i="5"/>
  <c r="AM48" i="5"/>
  <c r="AK48" i="5"/>
  <c r="AJ48" i="5"/>
  <c r="AI48" i="5"/>
  <c r="AH48" i="5"/>
  <c r="AG48" i="5"/>
  <c r="AF48" i="5"/>
  <c r="AE48" i="5"/>
  <c r="AD48" i="5"/>
  <c r="AC48" i="5"/>
  <c r="AB48" i="5"/>
  <c r="AA48" i="5"/>
  <c r="Z48" i="5"/>
  <c r="Y48" i="5"/>
  <c r="X48" i="5"/>
  <c r="W48" i="5"/>
  <c r="V48" i="5"/>
  <c r="U48" i="5"/>
  <c r="T48" i="5"/>
  <c r="R48" i="5"/>
  <c r="Q48" i="5"/>
  <c r="P48" i="5"/>
  <c r="O48" i="5"/>
  <c r="N48" i="5"/>
  <c r="M48" i="5"/>
  <c r="L48" i="5"/>
  <c r="AU47" i="5"/>
  <c r="AS47" i="5"/>
  <c r="AR47" i="5"/>
  <c r="AQ47" i="5"/>
  <c r="AP47" i="5"/>
  <c r="AO47" i="5"/>
  <c r="AN47" i="5"/>
  <c r="AM47" i="5"/>
  <c r="AL47" i="5"/>
  <c r="AK47" i="5"/>
  <c r="AJ47" i="5"/>
  <c r="AI47" i="5"/>
  <c r="AH47" i="5"/>
  <c r="AG47" i="5"/>
  <c r="AF47" i="5"/>
  <c r="AE47" i="5"/>
  <c r="AD47" i="5"/>
  <c r="AC47" i="5"/>
  <c r="AA47" i="5"/>
  <c r="Z47" i="5"/>
  <c r="Y47" i="5"/>
  <c r="X47" i="5"/>
  <c r="W47" i="5"/>
  <c r="V47" i="5"/>
  <c r="U47" i="5"/>
  <c r="T47" i="5"/>
  <c r="S47" i="5"/>
  <c r="R47" i="5"/>
  <c r="P47" i="5"/>
  <c r="O47" i="5"/>
  <c r="N47" i="5"/>
  <c r="M47" i="5"/>
  <c r="L47" i="5"/>
  <c r="AU46" i="5"/>
  <c r="AT46" i="5"/>
  <c r="AS46" i="5"/>
  <c r="AR46" i="5"/>
  <c r="AQ46" i="5"/>
  <c r="AP46" i="5"/>
  <c r="AO46" i="5"/>
  <c r="AN46" i="5"/>
  <c r="AM46" i="5"/>
  <c r="AL46" i="5"/>
  <c r="AK46" i="5"/>
  <c r="AJ46" i="5"/>
  <c r="AI46" i="5"/>
  <c r="AG46" i="5"/>
  <c r="AF46" i="5"/>
  <c r="AE46" i="5"/>
  <c r="AD46" i="5"/>
  <c r="AC46" i="5"/>
  <c r="AB46" i="5"/>
  <c r="AA46" i="5"/>
  <c r="Z46" i="5"/>
  <c r="Y46" i="5"/>
  <c r="X46" i="5"/>
  <c r="W46" i="5"/>
  <c r="U46" i="5"/>
  <c r="T46" i="5"/>
  <c r="S46" i="5"/>
  <c r="R46" i="5"/>
  <c r="Q46" i="5"/>
  <c r="P46" i="5"/>
  <c r="N46" i="5"/>
  <c r="M46" i="5"/>
  <c r="L46" i="5"/>
  <c r="AU45" i="5"/>
  <c r="AT45" i="5"/>
  <c r="AS45" i="5"/>
  <c r="AR45" i="5"/>
  <c r="AQ45" i="5"/>
  <c r="AO45" i="5"/>
  <c r="AN45" i="5"/>
  <c r="AM45" i="5"/>
  <c r="AL45" i="5"/>
  <c r="AK45" i="5"/>
  <c r="AI45" i="5"/>
  <c r="AH45" i="5"/>
  <c r="AG45" i="5"/>
  <c r="AF45" i="5"/>
  <c r="AE45" i="5"/>
  <c r="AC45" i="5"/>
  <c r="AB45" i="5"/>
  <c r="AA45" i="5"/>
  <c r="Z45" i="5"/>
  <c r="Y45" i="5"/>
  <c r="X45" i="5"/>
  <c r="W45" i="5"/>
  <c r="V45" i="5"/>
  <c r="U45" i="5"/>
  <c r="T45" i="5"/>
  <c r="S45" i="5"/>
  <c r="R45" i="5"/>
  <c r="Q45" i="5"/>
  <c r="P45" i="5"/>
  <c r="O45" i="5"/>
  <c r="AU44" i="5"/>
  <c r="AT44" i="5"/>
  <c r="AS44" i="5"/>
  <c r="AR44" i="5"/>
  <c r="AQ44" i="5"/>
  <c r="AP44" i="5"/>
  <c r="AO44" i="5"/>
  <c r="AN44" i="5"/>
  <c r="AM44" i="5"/>
  <c r="AL44" i="5"/>
  <c r="AK44" i="5"/>
  <c r="AJ44" i="5"/>
  <c r="AI44" i="5"/>
  <c r="AH44" i="5"/>
  <c r="AG44" i="5"/>
  <c r="AF44" i="5"/>
  <c r="AE44" i="5"/>
  <c r="AC44" i="5"/>
  <c r="AB44" i="5"/>
  <c r="AA44" i="5"/>
  <c r="Z44" i="5"/>
  <c r="Y44" i="5"/>
  <c r="X44" i="5"/>
  <c r="W44" i="5"/>
  <c r="V44" i="5"/>
  <c r="U44" i="5"/>
  <c r="T44" i="5"/>
  <c r="S44" i="5"/>
  <c r="R44" i="5"/>
  <c r="Q44" i="5"/>
  <c r="P44" i="5"/>
  <c r="O44" i="5"/>
  <c r="N44" i="5"/>
  <c r="M44" i="5"/>
  <c r="AU43" i="5"/>
  <c r="AT43" i="5"/>
  <c r="AR43" i="5"/>
  <c r="AQ43" i="5"/>
  <c r="AP43" i="5"/>
  <c r="AO43" i="5"/>
  <c r="AN43" i="5"/>
  <c r="AL43" i="5"/>
  <c r="AK43" i="5"/>
  <c r="AJ43" i="5"/>
  <c r="AI43" i="5"/>
  <c r="AH43" i="5"/>
  <c r="AF43" i="5"/>
  <c r="AE43" i="5"/>
  <c r="AD43" i="5"/>
  <c r="AC43" i="5"/>
  <c r="AB43" i="5"/>
  <c r="Z43" i="5"/>
  <c r="Y43" i="5"/>
  <c r="W43" i="5"/>
  <c r="V43" i="5"/>
  <c r="T43" i="5"/>
  <c r="S43" i="5"/>
  <c r="R43" i="5"/>
  <c r="Q43" i="5"/>
  <c r="P43" i="5"/>
  <c r="O43" i="5"/>
  <c r="AU42" i="5"/>
  <c r="AT42" i="5"/>
  <c r="AS42" i="5"/>
  <c r="AQ42" i="5"/>
  <c r="AP42" i="5"/>
  <c r="AO42" i="5"/>
  <c r="AN42" i="5"/>
  <c r="AM42" i="5"/>
  <c r="AK42" i="5"/>
  <c r="AJ42" i="5"/>
  <c r="AI42" i="5"/>
  <c r="AH42" i="5"/>
  <c r="AG42" i="5"/>
  <c r="AE42" i="5"/>
  <c r="AD42" i="5"/>
  <c r="AC42" i="5"/>
  <c r="AB42" i="5"/>
  <c r="AA42" i="5"/>
  <c r="Z42" i="5"/>
  <c r="Y42" i="5"/>
  <c r="X42" i="5"/>
  <c r="W42" i="5"/>
  <c r="V42" i="5"/>
  <c r="U42" i="5"/>
  <c r="Q42" i="5"/>
  <c r="P42" i="5"/>
  <c r="O42" i="5"/>
  <c r="N42" i="5"/>
  <c r="M42" i="5"/>
  <c r="L42" i="5"/>
  <c r="AT41" i="5"/>
  <c r="AS41" i="5"/>
  <c r="AR41" i="5"/>
  <c r="AQ41" i="5"/>
  <c r="AP41" i="5"/>
  <c r="AO41" i="5"/>
  <c r="AN41" i="5"/>
  <c r="AM41" i="5"/>
  <c r="AL41" i="5"/>
  <c r="AK41" i="5"/>
  <c r="AJ41" i="5"/>
  <c r="AI41" i="5"/>
  <c r="AH41" i="5"/>
  <c r="AG41" i="5"/>
  <c r="AF41" i="5"/>
  <c r="AE41" i="5"/>
  <c r="AD41" i="5"/>
  <c r="AB41" i="5"/>
  <c r="AA41" i="5"/>
  <c r="Z41" i="5"/>
  <c r="Y41" i="5"/>
  <c r="X41" i="5"/>
  <c r="W41" i="5"/>
  <c r="V41" i="5"/>
  <c r="U41" i="5"/>
  <c r="S41" i="5"/>
  <c r="R41" i="5"/>
  <c r="Q41" i="5"/>
  <c r="P41" i="5"/>
  <c r="O41" i="5"/>
  <c r="N41" i="5"/>
  <c r="M41" i="5"/>
  <c r="L41" i="5"/>
  <c r="AU40" i="5"/>
  <c r="AT40" i="5"/>
  <c r="AS40" i="5"/>
  <c r="AR40" i="5"/>
  <c r="AQ40" i="5"/>
  <c r="AP40" i="5"/>
  <c r="AO40" i="5"/>
  <c r="AN40" i="5"/>
  <c r="AM40" i="5"/>
  <c r="AK40" i="5"/>
  <c r="AJ40" i="5"/>
  <c r="AI40" i="5"/>
  <c r="AH40" i="5"/>
  <c r="AG40" i="5"/>
  <c r="AF40" i="5"/>
  <c r="AE40" i="5"/>
  <c r="AD40" i="5"/>
  <c r="AC40" i="5"/>
  <c r="AB40" i="5"/>
  <c r="AA40" i="5"/>
  <c r="Z40" i="5"/>
  <c r="Y40" i="5"/>
  <c r="X40" i="5"/>
  <c r="W40" i="5"/>
  <c r="V40" i="5"/>
  <c r="U40" i="5"/>
  <c r="T40" i="5"/>
  <c r="R40" i="5"/>
  <c r="Q40" i="5"/>
  <c r="P40" i="5"/>
  <c r="O40" i="5"/>
  <c r="N40" i="5"/>
  <c r="M40" i="5"/>
  <c r="L40" i="5"/>
  <c r="AU39" i="5"/>
  <c r="AT39" i="5"/>
  <c r="AS39" i="5"/>
  <c r="AR39" i="5"/>
  <c r="AQ39" i="5"/>
  <c r="AP39" i="5"/>
  <c r="AO39" i="5"/>
  <c r="AM39" i="5"/>
  <c r="AL39" i="5"/>
  <c r="AK39" i="5"/>
  <c r="AJ39" i="5"/>
  <c r="AI39" i="5"/>
  <c r="AH39" i="5"/>
  <c r="AG39" i="5"/>
  <c r="AF39" i="5"/>
  <c r="AE39" i="5"/>
  <c r="AD39" i="5"/>
  <c r="AC39" i="5"/>
  <c r="AB39" i="5"/>
  <c r="AA39" i="5"/>
  <c r="Z39" i="5"/>
  <c r="X39" i="5"/>
  <c r="W39" i="5"/>
  <c r="V39" i="5"/>
  <c r="U39" i="5"/>
  <c r="T39" i="5"/>
  <c r="S39" i="5"/>
  <c r="R39" i="5"/>
  <c r="Q39" i="5"/>
  <c r="O39" i="5"/>
  <c r="N39" i="5"/>
  <c r="M39" i="5"/>
  <c r="L39" i="5"/>
  <c r="AU38" i="5"/>
  <c r="AT38" i="5"/>
  <c r="AS38" i="5"/>
  <c r="AR38" i="5"/>
  <c r="AP38" i="5"/>
  <c r="AO38" i="5"/>
  <c r="AN38" i="5"/>
  <c r="AM38" i="5"/>
  <c r="AL38" i="5"/>
  <c r="AJ38" i="5"/>
  <c r="AI38" i="5"/>
  <c r="AH38" i="5"/>
  <c r="AG38" i="5"/>
  <c r="AF38" i="5"/>
  <c r="AD38" i="5"/>
  <c r="AC38" i="5"/>
  <c r="AB38" i="5"/>
  <c r="AA38" i="5"/>
  <c r="Z38" i="5"/>
  <c r="Y38" i="5"/>
  <c r="X38" i="5"/>
  <c r="W38" i="5"/>
  <c r="V38" i="5"/>
  <c r="U38" i="5"/>
  <c r="T38" i="5"/>
  <c r="S38" i="5"/>
  <c r="R38" i="5"/>
  <c r="N38" i="5"/>
  <c r="M38" i="5"/>
  <c r="L38" i="5"/>
  <c r="AU37" i="5"/>
  <c r="AT37" i="5"/>
  <c r="AR37" i="5"/>
  <c r="AQ37" i="5"/>
  <c r="AP37" i="5"/>
  <c r="AO37" i="5"/>
  <c r="AN37" i="5"/>
  <c r="AM37" i="5"/>
  <c r="AL37" i="5"/>
  <c r="AK37" i="5"/>
  <c r="AJ37" i="5"/>
  <c r="AI37" i="5"/>
  <c r="AH37" i="5"/>
  <c r="AG37" i="5"/>
  <c r="AF37" i="5"/>
  <c r="AE37" i="5"/>
  <c r="AD37" i="5"/>
  <c r="AC37" i="5"/>
  <c r="AB37" i="5"/>
  <c r="Z37" i="5"/>
  <c r="Y37" i="5"/>
  <c r="X37" i="5"/>
  <c r="W37" i="5"/>
  <c r="V37" i="5"/>
  <c r="U37" i="5"/>
  <c r="T37" i="5"/>
  <c r="S37" i="5"/>
  <c r="R37" i="5"/>
  <c r="Q37" i="5"/>
  <c r="P37" i="5"/>
  <c r="O37" i="5"/>
  <c r="M37" i="5"/>
  <c r="L37" i="5"/>
  <c r="AU36" i="5"/>
  <c r="AT36" i="5"/>
  <c r="AS36" i="5"/>
  <c r="AR36" i="5"/>
  <c r="AP36" i="5"/>
  <c r="AO36" i="5"/>
  <c r="AN36" i="5"/>
  <c r="AM36" i="5"/>
  <c r="AL36" i="5"/>
  <c r="AK36" i="5"/>
  <c r="AJ36" i="5"/>
  <c r="AI36" i="5"/>
  <c r="AH36" i="5"/>
  <c r="AG36" i="5"/>
  <c r="AF36" i="5"/>
  <c r="AD36" i="5"/>
  <c r="AC36" i="5"/>
  <c r="AB36" i="5"/>
  <c r="AA36" i="5"/>
  <c r="Z36" i="5"/>
  <c r="Y36" i="5"/>
  <c r="X36" i="5"/>
  <c r="W36" i="5"/>
  <c r="V36" i="5"/>
  <c r="U36" i="5"/>
  <c r="T36" i="5"/>
  <c r="S36" i="5"/>
  <c r="R36" i="5"/>
  <c r="N36" i="5"/>
  <c r="M36" i="5"/>
  <c r="L36" i="5"/>
  <c r="J36"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J35" i="5"/>
  <c r="AU34" i="5"/>
  <c r="AS34" i="5"/>
  <c r="AR34" i="5"/>
  <c r="AQ34" i="5"/>
  <c r="AP34" i="5"/>
  <c r="AO34" i="5"/>
  <c r="AM34" i="5"/>
  <c r="AL34" i="5"/>
  <c r="AK34" i="5"/>
  <c r="AJ34" i="5"/>
  <c r="AI34" i="5"/>
  <c r="AG34" i="5"/>
  <c r="AF34" i="5"/>
  <c r="AE34" i="5"/>
  <c r="AD34" i="5"/>
  <c r="AC34" i="5"/>
  <c r="AA34" i="5"/>
  <c r="Z34" i="5"/>
  <c r="X34" i="5"/>
  <c r="W34" i="5"/>
  <c r="U34" i="5"/>
  <c r="T34" i="5"/>
  <c r="S34" i="5"/>
  <c r="R34" i="5"/>
  <c r="N34" i="5"/>
  <c r="M34" i="5"/>
  <c r="L34" i="5"/>
  <c r="AU33" i="5"/>
  <c r="AT33" i="5"/>
  <c r="AS33" i="5"/>
  <c r="AR33" i="5"/>
  <c r="AQ33" i="5"/>
  <c r="AP33" i="5"/>
  <c r="AO33" i="5"/>
  <c r="AM33" i="5"/>
  <c r="AL33" i="5"/>
  <c r="AK33" i="5"/>
  <c r="AJ33" i="5"/>
  <c r="AI33" i="5"/>
  <c r="AH33" i="5"/>
  <c r="AG33" i="5"/>
  <c r="AF33" i="5"/>
  <c r="AE33" i="5"/>
  <c r="AD33" i="5"/>
  <c r="AC33" i="5"/>
  <c r="AB33" i="5"/>
  <c r="AA33" i="5"/>
  <c r="Z33" i="5"/>
  <c r="X33" i="5"/>
  <c r="W33" i="5"/>
  <c r="V33" i="5"/>
  <c r="U33" i="5"/>
  <c r="T33" i="5"/>
  <c r="S33" i="5"/>
  <c r="R33" i="5"/>
  <c r="Q33" i="5"/>
  <c r="O33" i="5"/>
  <c r="N33" i="5"/>
  <c r="M33" i="5"/>
  <c r="L33" i="5"/>
  <c r="AU32" i="5"/>
  <c r="AT32" i="5"/>
  <c r="AS32" i="5"/>
  <c r="AR32" i="5"/>
  <c r="AQ32" i="5"/>
  <c r="AP32" i="5"/>
  <c r="AO32" i="5"/>
  <c r="AN32" i="5"/>
  <c r="AM32" i="5"/>
  <c r="AL32" i="5"/>
  <c r="AK32" i="5"/>
  <c r="AJ32" i="5"/>
  <c r="AI32" i="5"/>
  <c r="AH32" i="5"/>
  <c r="AG32" i="5"/>
  <c r="AF32" i="5"/>
  <c r="AE32" i="5"/>
  <c r="AC32" i="5"/>
  <c r="AB32" i="5"/>
  <c r="AA32" i="5"/>
  <c r="Z32" i="5"/>
  <c r="Y32" i="5"/>
  <c r="X32" i="5"/>
  <c r="W32" i="5"/>
  <c r="V32" i="5"/>
  <c r="U32" i="5"/>
  <c r="T32" i="5"/>
  <c r="S32" i="5"/>
  <c r="R32" i="5"/>
  <c r="Q32" i="5"/>
  <c r="P32" i="5"/>
  <c r="O32" i="5"/>
  <c r="N32" i="5"/>
  <c r="M32" i="5"/>
  <c r="AU31" i="5"/>
  <c r="AT31" i="5"/>
  <c r="AS31" i="5"/>
  <c r="AQ31" i="5"/>
  <c r="AP31" i="5"/>
  <c r="AO31" i="5"/>
  <c r="AN31" i="5"/>
  <c r="AM31" i="5"/>
  <c r="AL31" i="5"/>
  <c r="AK31" i="5"/>
  <c r="AJ31" i="5"/>
  <c r="AI31" i="5"/>
  <c r="AH31" i="5"/>
  <c r="AG31" i="5"/>
  <c r="AF31" i="5"/>
  <c r="AE31" i="5"/>
  <c r="AD31" i="5"/>
  <c r="AC31" i="5"/>
  <c r="AB31" i="5"/>
  <c r="AA31" i="5"/>
  <c r="Z31" i="5"/>
  <c r="Y31" i="5"/>
  <c r="X31" i="5"/>
  <c r="W31" i="5"/>
  <c r="V31" i="5"/>
  <c r="U31" i="5"/>
  <c r="S31" i="5"/>
  <c r="R31" i="5"/>
  <c r="Q31" i="5"/>
  <c r="P31" i="5"/>
  <c r="O31" i="5"/>
  <c r="N31" i="5"/>
  <c r="M31" i="5"/>
  <c r="L31" i="5"/>
  <c r="AT30" i="5"/>
  <c r="AS30" i="5"/>
  <c r="AR30" i="5"/>
  <c r="AQ30" i="5"/>
  <c r="AP30" i="5"/>
  <c r="AN30" i="5"/>
  <c r="AM30" i="5"/>
  <c r="AL30" i="5"/>
  <c r="AK30" i="5"/>
  <c r="AJ30" i="5"/>
  <c r="AH30" i="5"/>
  <c r="AG30" i="5"/>
  <c r="AF30" i="5"/>
  <c r="AE30" i="5"/>
  <c r="AD30" i="5"/>
  <c r="AB30" i="5"/>
  <c r="AA30" i="5"/>
  <c r="Y30" i="5"/>
  <c r="X30" i="5"/>
  <c r="V30" i="5"/>
  <c r="U30" i="5"/>
  <c r="Q30" i="5"/>
  <c r="P30" i="5"/>
  <c r="O30" i="5"/>
  <c r="N30" i="5"/>
  <c r="M30" i="5"/>
  <c r="L30" i="5"/>
  <c r="AU29" i="5"/>
  <c r="AS29" i="5"/>
  <c r="AR29" i="5"/>
  <c r="AQ29" i="5"/>
  <c r="AP29" i="5"/>
  <c r="AO29" i="5"/>
  <c r="AM29" i="5"/>
  <c r="AL29" i="5"/>
  <c r="AK29" i="5"/>
  <c r="AJ29" i="5"/>
  <c r="AI29" i="5"/>
  <c r="AG29" i="5"/>
  <c r="AF29" i="5"/>
  <c r="AE29" i="5"/>
  <c r="AD29" i="5"/>
  <c r="AC29" i="5"/>
  <c r="AA29" i="5"/>
  <c r="Z29" i="5"/>
  <c r="X29" i="5"/>
  <c r="W29" i="5"/>
  <c r="U29" i="5"/>
  <c r="T29" i="5"/>
  <c r="S29" i="5"/>
  <c r="R29" i="5"/>
  <c r="N29" i="5"/>
  <c r="M29" i="5"/>
  <c r="L29" i="5"/>
  <c r="AU28" i="5"/>
  <c r="AT28" i="5"/>
  <c r="AS28" i="5"/>
  <c r="AR28" i="5"/>
  <c r="AQ28" i="5"/>
  <c r="AP28" i="5"/>
  <c r="AO28" i="5"/>
  <c r="AN28" i="5"/>
  <c r="AM28" i="5"/>
  <c r="AL28" i="5"/>
  <c r="AJ28" i="5"/>
  <c r="AI28" i="5"/>
  <c r="AH28" i="5"/>
  <c r="AG28" i="5"/>
  <c r="AF28" i="5"/>
  <c r="AE28" i="5"/>
  <c r="AD28" i="5"/>
  <c r="AC28" i="5"/>
  <c r="AB28" i="5"/>
  <c r="AA28" i="5"/>
  <c r="Z28" i="5"/>
  <c r="Y28" i="5"/>
  <c r="X28" i="5"/>
  <c r="W28" i="5"/>
  <c r="V28" i="5"/>
  <c r="U28" i="5"/>
  <c r="T28" i="5"/>
  <c r="S28" i="5"/>
  <c r="R28" i="5"/>
  <c r="Q28" i="5"/>
  <c r="O28" i="5"/>
  <c r="N28" i="5"/>
  <c r="M28" i="5"/>
  <c r="L28" i="5"/>
  <c r="AU27" i="5"/>
  <c r="AT27" i="5"/>
  <c r="AS27" i="5"/>
  <c r="AR27" i="5"/>
  <c r="AQ27" i="5"/>
  <c r="AP27" i="5"/>
  <c r="AO27" i="5"/>
  <c r="AN27" i="5"/>
  <c r="AM27" i="5"/>
  <c r="AL27" i="5"/>
  <c r="AK27" i="5"/>
  <c r="AJ27" i="5"/>
  <c r="AI27" i="5"/>
  <c r="AH27" i="5"/>
  <c r="AG27" i="5"/>
  <c r="AF27" i="5"/>
  <c r="AE27" i="5"/>
  <c r="AC27" i="5"/>
  <c r="AB27" i="5"/>
  <c r="AA27" i="5"/>
  <c r="Z27" i="5"/>
  <c r="Y27" i="5"/>
  <c r="X27" i="5"/>
  <c r="W27" i="5"/>
  <c r="V27" i="5"/>
  <c r="U27" i="5"/>
  <c r="T27" i="5"/>
  <c r="S27" i="5"/>
  <c r="R27" i="5"/>
  <c r="Q27" i="5"/>
  <c r="P27" i="5"/>
  <c r="O27" i="5"/>
  <c r="N27" i="5"/>
  <c r="M27" i="5"/>
  <c r="AU26" i="5"/>
  <c r="AT26" i="5"/>
  <c r="AS26" i="5"/>
  <c r="AQ26" i="5"/>
  <c r="AP26" i="5"/>
  <c r="AO26" i="5"/>
  <c r="AN26" i="5"/>
  <c r="AM26" i="5"/>
  <c r="AL26" i="5"/>
  <c r="AK26" i="5"/>
  <c r="AJ26" i="5"/>
  <c r="AI26" i="5"/>
  <c r="AH26" i="5"/>
  <c r="AG26" i="5"/>
  <c r="AF26" i="5"/>
  <c r="AE26" i="5"/>
  <c r="AD26" i="5"/>
  <c r="AC26" i="5"/>
  <c r="AB26" i="5"/>
  <c r="AA26" i="5"/>
  <c r="Z26" i="5"/>
  <c r="Y26" i="5"/>
  <c r="X26" i="5"/>
  <c r="W26" i="5"/>
  <c r="V26" i="5"/>
  <c r="U26" i="5"/>
  <c r="S26" i="5"/>
  <c r="R26" i="5"/>
  <c r="Q26" i="5"/>
  <c r="P26" i="5"/>
  <c r="O26" i="5"/>
  <c r="N26" i="5"/>
  <c r="M26" i="5"/>
  <c r="L26" i="5"/>
  <c r="AU25" i="5"/>
  <c r="AT25" i="5"/>
  <c r="AS25" i="5"/>
  <c r="AQ25" i="5"/>
  <c r="AP25" i="5"/>
  <c r="AO25" i="5"/>
  <c r="AN25" i="5"/>
  <c r="AM25" i="5"/>
  <c r="AK25" i="5"/>
  <c r="AJ25" i="5"/>
  <c r="AI25" i="5"/>
  <c r="AH25" i="5"/>
  <c r="AG25" i="5"/>
  <c r="AE25" i="5"/>
  <c r="AD25" i="5"/>
  <c r="AC25" i="5"/>
  <c r="AB25" i="5"/>
  <c r="AA25" i="5"/>
  <c r="Z25" i="5"/>
  <c r="Y25" i="5"/>
  <c r="X25" i="5"/>
  <c r="W25" i="5"/>
  <c r="V25" i="5"/>
  <c r="U25" i="5"/>
  <c r="Q25" i="5"/>
  <c r="P25" i="5"/>
  <c r="O25" i="5"/>
  <c r="N25" i="5"/>
  <c r="M25" i="5"/>
  <c r="L25" i="5"/>
  <c r="AU24" i="5"/>
  <c r="AT24" i="5"/>
  <c r="AS24" i="5"/>
  <c r="AR24" i="5"/>
  <c r="AQ24" i="5"/>
  <c r="AP24" i="5"/>
  <c r="AO24" i="5"/>
  <c r="AN24" i="5"/>
  <c r="AL24" i="5"/>
  <c r="AK24" i="5"/>
  <c r="AJ24" i="5"/>
  <c r="AI24" i="5"/>
  <c r="AH24" i="5"/>
  <c r="AG24" i="5"/>
  <c r="AF24" i="5"/>
  <c r="AE24" i="5"/>
  <c r="AD24" i="5"/>
  <c r="AC24" i="5"/>
  <c r="AB24" i="5"/>
  <c r="AA24" i="5"/>
  <c r="Z24" i="5"/>
  <c r="Y24" i="5"/>
  <c r="W24" i="5"/>
  <c r="V24" i="5"/>
  <c r="U24" i="5"/>
  <c r="T24" i="5"/>
  <c r="S24" i="5"/>
  <c r="R24" i="5"/>
  <c r="Q24" i="5"/>
  <c r="P24" i="5"/>
  <c r="O24" i="5"/>
  <c r="N24" i="5"/>
  <c r="L24" i="5"/>
  <c r="AU23" i="5"/>
  <c r="AT23" i="5"/>
  <c r="AS23" i="5"/>
  <c r="AQ23" i="5"/>
  <c r="AP23" i="5"/>
  <c r="AO23" i="5"/>
  <c r="AN23" i="5"/>
  <c r="AM23" i="5"/>
  <c r="AK23" i="5"/>
  <c r="AJ23" i="5"/>
  <c r="AI23" i="5"/>
  <c r="AH23" i="5"/>
  <c r="AG23" i="5"/>
  <c r="AE23" i="5"/>
  <c r="AD23" i="5"/>
  <c r="AC23" i="5"/>
  <c r="AB23" i="5"/>
  <c r="AA23" i="5"/>
  <c r="Z23" i="5"/>
  <c r="Y23" i="5"/>
  <c r="X23" i="5"/>
  <c r="W23" i="5"/>
  <c r="V23" i="5"/>
  <c r="U23" i="5"/>
  <c r="Q23" i="5"/>
  <c r="P23" i="5"/>
  <c r="O23" i="5"/>
  <c r="N23" i="5"/>
  <c r="M23" i="5"/>
  <c r="L23" i="5"/>
  <c r="AU22" i="5"/>
  <c r="AT22" i="5"/>
  <c r="AS22" i="5"/>
  <c r="AR22" i="5"/>
  <c r="AQ22" i="5"/>
  <c r="AP22" i="5"/>
  <c r="AO22" i="5"/>
  <c r="AN22" i="5"/>
  <c r="AM22" i="5"/>
  <c r="AL22" i="5"/>
  <c r="AK22" i="5"/>
  <c r="AJ22" i="5"/>
  <c r="AI22" i="5"/>
  <c r="AH22" i="5"/>
  <c r="AG22" i="5"/>
  <c r="AF22" i="5"/>
  <c r="AD22" i="5"/>
  <c r="AC22" i="5"/>
  <c r="AB22" i="5"/>
  <c r="AA22" i="5"/>
  <c r="Z22" i="5"/>
  <c r="Y22" i="5"/>
  <c r="X22" i="5"/>
  <c r="W22" i="5"/>
  <c r="V22" i="5"/>
  <c r="U22" i="5"/>
  <c r="T22" i="5"/>
  <c r="S22" i="5"/>
  <c r="R22" i="5"/>
  <c r="Q22" i="5"/>
  <c r="P22" i="5"/>
  <c r="N22" i="5"/>
  <c r="M22" i="5"/>
  <c r="L22" i="5"/>
  <c r="AU21" i="5"/>
  <c r="AT21" i="5"/>
  <c r="AS21" i="5"/>
  <c r="AR21" i="5"/>
  <c r="AQ21" i="5"/>
  <c r="AP21" i="5"/>
  <c r="AO21" i="5"/>
  <c r="AN21" i="5"/>
  <c r="AM21" i="5"/>
  <c r="AL21" i="5"/>
  <c r="AK21" i="5"/>
  <c r="AJ21" i="5"/>
  <c r="AI21" i="5"/>
  <c r="AH21" i="5"/>
  <c r="AG21" i="5"/>
  <c r="AE21" i="5"/>
  <c r="AD21" i="5"/>
  <c r="AC21" i="5"/>
  <c r="AB21" i="5"/>
  <c r="AA21" i="5"/>
  <c r="Z21" i="5"/>
  <c r="Y21" i="5"/>
  <c r="X21" i="5"/>
  <c r="W21" i="5"/>
  <c r="V21" i="5"/>
  <c r="U21" i="5"/>
  <c r="T21" i="5"/>
  <c r="S21" i="5"/>
  <c r="Q21" i="5"/>
  <c r="P21" i="5"/>
  <c r="O21" i="5"/>
  <c r="N21" i="5"/>
  <c r="M21" i="5"/>
  <c r="L21" i="5"/>
  <c r="AU20" i="5"/>
  <c r="AT20" i="5"/>
  <c r="AS20" i="5"/>
  <c r="AR20" i="5"/>
  <c r="AQ20" i="5"/>
  <c r="AP20" i="5"/>
  <c r="AO20" i="5"/>
  <c r="AM20" i="5"/>
  <c r="AL20" i="5"/>
  <c r="AK20" i="5"/>
  <c r="AJ20" i="5"/>
  <c r="AI20" i="5"/>
  <c r="AH20" i="5"/>
  <c r="AG20" i="5"/>
  <c r="AF20" i="5"/>
  <c r="AE20" i="5"/>
  <c r="AD20" i="5"/>
  <c r="AC20" i="5"/>
  <c r="AB20" i="5"/>
  <c r="AA20" i="5"/>
  <c r="Z20" i="5"/>
  <c r="X20" i="5"/>
  <c r="W20" i="5"/>
  <c r="V20" i="5"/>
  <c r="U20" i="5"/>
  <c r="T20" i="5"/>
  <c r="S20" i="5"/>
  <c r="R20" i="5"/>
  <c r="Q20" i="5"/>
  <c r="O20" i="5"/>
  <c r="N20" i="5"/>
  <c r="M20" i="5"/>
  <c r="L20" i="5"/>
  <c r="AT19" i="5"/>
  <c r="AS19" i="5"/>
  <c r="AR19" i="5"/>
  <c r="AQ19" i="5"/>
  <c r="AP19" i="5"/>
  <c r="AN19" i="5"/>
  <c r="AM19" i="5"/>
  <c r="AL19" i="5"/>
  <c r="AK19" i="5"/>
  <c r="AJ19" i="5"/>
  <c r="AH19" i="5"/>
  <c r="AG19" i="5"/>
  <c r="AF19" i="5"/>
  <c r="AE19" i="5"/>
  <c r="AD19" i="5"/>
  <c r="AB19" i="5"/>
  <c r="AA19" i="5"/>
  <c r="Y19" i="5"/>
  <c r="X19" i="5"/>
  <c r="V19" i="5"/>
  <c r="U19" i="5"/>
  <c r="Q19" i="5"/>
  <c r="P19" i="5"/>
  <c r="O19" i="5"/>
  <c r="N19" i="5"/>
  <c r="M19" i="5"/>
  <c r="L19" i="5"/>
  <c r="AU18" i="5"/>
  <c r="AT18" i="5"/>
  <c r="AS18" i="5"/>
  <c r="AR18" i="5"/>
  <c r="AQ18" i="5"/>
  <c r="AO18" i="5"/>
  <c r="AN18" i="5"/>
  <c r="AM18" i="5"/>
  <c r="AL18" i="5"/>
  <c r="AK18" i="5"/>
  <c r="AI18" i="5"/>
  <c r="AH18" i="5"/>
  <c r="AG18" i="5"/>
  <c r="AF18" i="5"/>
  <c r="AE18" i="5"/>
  <c r="AC18" i="5"/>
  <c r="AB18" i="5"/>
  <c r="AA18" i="5"/>
  <c r="Z18" i="5"/>
  <c r="Y18" i="5"/>
  <c r="X18" i="5"/>
  <c r="W18" i="5"/>
  <c r="V18" i="5"/>
  <c r="U18" i="5"/>
  <c r="T18" i="5"/>
  <c r="S18" i="5"/>
  <c r="R18" i="5"/>
  <c r="Q18" i="5"/>
  <c r="P18" i="5"/>
  <c r="O18" i="5"/>
  <c r="AT17" i="5"/>
  <c r="AS17" i="5"/>
  <c r="AR17" i="5"/>
  <c r="AQ17" i="5"/>
  <c r="AP17" i="5"/>
  <c r="AO17" i="5"/>
  <c r="AN17" i="5"/>
  <c r="AM17" i="5"/>
  <c r="AL17" i="5"/>
  <c r="AK17" i="5"/>
  <c r="AJ17" i="5"/>
  <c r="AI17" i="5"/>
  <c r="AH17" i="5"/>
  <c r="AG17" i="5"/>
  <c r="AF17" i="5"/>
  <c r="AE17" i="5"/>
  <c r="AD17" i="5"/>
  <c r="AB17" i="5"/>
  <c r="AA17" i="5"/>
  <c r="Z17" i="5"/>
  <c r="Y17" i="5"/>
  <c r="X17" i="5"/>
  <c r="W17" i="5"/>
  <c r="V17" i="5"/>
  <c r="U17" i="5"/>
  <c r="S17" i="5"/>
  <c r="R17" i="5"/>
  <c r="Q17" i="5"/>
  <c r="P17" i="5"/>
  <c r="O17" i="5"/>
  <c r="N17" i="5"/>
  <c r="M17" i="5"/>
  <c r="L17" i="5"/>
  <c r="AU16" i="5"/>
  <c r="AT16" i="5"/>
  <c r="AS16" i="5"/>
  <c r="AR16" i="5"/>
  <c r="AQ16" i="5"/>
  <c r="AP16" i="5"/>
  <c r="AO16" i="5"/>
  <c r="AN16" i="5"/>
  <c r="AM16" i="5"/>
  <c r="AL16" i="5"/>
  <c r="AK16" i="5"/>
  <c r="AJ16" i="5"/>
  <c r="AI16" i="5"/>
  <c r="AH16" i="5"/>
  <c r="AG16" i="5"/>
  <c r="AF16" i="5"/>
  <c r="AD16" i="5"/>
  <c r="AC16" i="5"/>
  <c r="AB16" i="5"/>
  <c r="AA16" i="5"/>
  <c r="Z16" i="5"/>
  <c r="Y16" i="5"/>
  <c r="X16" i="5"/>
  <c r="W16" i="5"/>
  <c r="V16" i="5"/>
  <c r="U16" i="5"/>
  <c r="T16" i="5"/>
  <c r="S16" i="5"/>
  <c r="R16" i="5"/>
  <c r="Q16" i="5"/>
  <c r="P16" i="5"/>
  <c r="N16" i="5"/>
  <c r="M16" i="5"/>
  <c r="L16" i="5"/>
  <c r="AU15" i="5"/>
  <c r="AT15" i="5"/>
  <c r="AS15" i="5"/>
  <c r="AR15" i="5"/>
  <c r="AQ15" i="5"/>
  <c r="AO15" i="5"/>
  <c r="AN15" i="5"/>
  <c r="AM15" i="5"/>
  <c r="AL15" i="5"/>
  <c r="AK15" i="5"/>
  <c r="AI15" i="5"/>
  <c r="AH15" i="5"/>
  <c r="AG15" i="5"/>
  <c r="AF15" i="5"/>
  <c r="AE15" i="5"/>
  <c r="AC15" i="5"/>
  <c r="AB15" i="5"/>
  <c r="AA15" i="5"/>
  <c r="Z15" i="5"/>
  <c r="Y15" i="5"/>
  <c r="X15" i="5"/>
  <c r="W15" i="5"/>
  <c r="V15" i="5"/>
  <c r="U15" i="5"/>
  <c r="T15" i="5"/>
  <c r="S15" i="5"/>
  <c r="R15" i="5"/>
  <c r="Q15" i="5"/>
  <c r="P15" i="5"/>
  <c r="O15" i="5"/>
  <c r="AU14" i="5"/>
  <c r="AT14" i="5"/>
  <c r="AS14" i="5"/>
  <c r="AR14" i="5"/>
  <c r="AQ14" i="5"/>
  <c r="AO14" i="5"/>
  <c r="AN14" i="5"/>
  <c r="AM14" i="5"/>
  <c r="AL14" i="5"/>
  <c r="AK14" i="5"/>
  <c r="AI14" i="5"/>
  <c r="AH14" i="5"/>
  <c r="AG14" i="5"/>
  <c r="AF14" i="5"/>
  <c r="AE14" i="5"/>
  <c r="AC14" i="5"/>
  <c r="AB14" i="5"/>
  <c r="AA14" i="5"/>
  <c r="Z14" i="5"/>
  <c r="Y14" i="5"/>
  <c r="X14" i="5"/>
  <c r="W14" i="5"/>
  <c r="V14" i="5"/>
  <c r="U14" i="5"/>
  <c r="T14" i="5"/>
  <c r="S14" i="5"/>
  <c r="R14" i="5"/>
  <c r="Q14" i="5"/>
  <c r="P14" i="5"/>
  <c r="O14" i="5"/>
  <c r="AU13" i="5"/>
  <c r="AT13" i="5"/>
  <c r="AS13" i="5"/>
  <c r="AQ13" i="5"/>
  <c r="AP13" i="5"/>
  <c r="AO13" i="5"/>
  <c r="AN13" i="5"/>
  <c r="AM13" i="5"/>
  <c r="AL13" i="5"/>
  <c r="AK13" i="5"/>
  <c r="AJ13" i="5"/>
  <c r="AI13" i="5"/>
  <c r="AH13" i="5"/>
  <c r="AG13" i="5"/>
  <c r="AF13" i="5"/>
  <c r="AE13" i="5"/>
  <c r="AD13" i="5"/>
  <c r="AC13" i="5"/>
  <c r="AB13" i="5"/>
  <c r="AA13" i="5"/>
  <c r="Z13" i="5"/>
  <c r="Y13" i="5"/>
  <c r="X13" i="5"/>
  <c r="W13" i="5"/>
  <c r="V13" i="5"/>
  <c r="U13" i="5"/>
  <c r="S13" i="5"/>
  <c r="R13" i="5"/>
  <c r="Q13" i="5"/>
  <c r="P13" i="5"/>
  <c r="O13" i="5"/>
  <c r="N13" i="5"/>
  <c r="M13" i="5"/>
  <c r="L13" i="5"/>
  <c r="AU12" i="5"/>
  <c r="AT12" i="5"/>
  <c r="AS12" i="5"/>
  <c r="AR12" i="5"/>
  <c r="AQ12" i="5"/>
  <c r="AP12" i="5"/>
  <c r="AO12" i="5"/>
  <c r="AN12" i="5"/>
  <c r="AM12" i="5"/>
  <c r="AK12" i="5"/>
  <c r="AJ12" i="5"/>
  <c r="AI12" i="5"/>
  <c r="AH12" i="5"/>
  <c r="AG12" i="5"/>
  <c r="AF12" i="5"/>
  <c r="AE12" i="5"/>
  <c r="AD12" i="5"/>
  <c r="AC12" i="5"/>
  <c r="AB12" i="5"/>
  <c r="AA12" i="5"/>
  <c r="Z12" i="5"/>
  <c r="Y12" i="5"/>
  <c r="X12" i="5"/>
  <c r="W12" i="5"/>
  <c r="V12" i="5"/>
  <c r="U12" i="5"/>
  <c r="T12" i="5"/>
  <c r="R12" i="5"/>
  <c r="Q12" i="5"/>
  <c r="P12" i="5"/>
  <c r="O12" i="5"/>
  <c r="N12" i="5"/>
  <c r="M12" i="5"/>
  <c r="L12" i="5"/>
  <c r="AU11" i="5"/>
  <c r="AT11" i="5"/>
  <c r="AS11" i="5"/>
  <c r="AR11" i="5"/>
  <c r="AP11" i="5"/>
  <c r="AO11" i="5"/>
  <c r="AN11" i="5"/>
  <c r="AM11" i="5"/>
  <c r="AL11" i="5"/>
  <c r="AJ11" i="5"/>
  <c r="AI11" i="5"/>
  <c r="AH11" i="5"/>
  <c r="AG11" i="5"/>
  <c r="AF11" i="5"/>
  <c r="AD11" i="5"/>
  <c r="AC11" i="5"/>
  <c r="AB11" i="5"/>
  <c r="AA11" i="5"/>
  <c r="Z11" i="5"/>
  <c r="Y11" i="5"/>
  <c r="X11" i="5"/>
  <c r="W11" i="5"/>
  <c r="V11" i="5"/>
  <c r="U11" i="5"/>
  <c r="T11" i="5"/>
  <c r="S11" i="5"/>
  <c r="R11" i="5"/>
  <c r="N11" i="5"/>
  <c r="M11" i="5"/>
  <c r="L11" i="5"/>
  <c r="AU10" i="5"/>
  <c r="AT10" i="5"/>
  <c r="AS10" i="5"/>
  <c r="AR10" i="5"/>
  <c r="AQ10" i="5"/>
  <c r="AP10" i="5"/>
  <c r="AO10" i="5"/>
  <c r="AN10" i="5"/>
  <c r="AM10" i="5"/>
  <c r="AL10" i="5"/>
  <c r="AK10" i="5"/>
  <c r="AJ10" i="5"/>
  <c r="AI10" i="5"/>
  <c r="AH10" i="5"/>
  <c r="AF10" i="5"/>
  <c r="AE10" i="5"/>
  <c r="AD10" i="5"/>
  <c r="AC10" i="5"/>
  <c r="AB10" i="5"/>
  <c r="AA10" i="5"/>
  <c r="Z10" i="5"/>
  <c r="Y10" i="5"/>
  <c r="X10" i="5"/>
  <c r="W10" i="5"/>
  <c r="V10" i="5"/>
  <c r="T10" i="5"/>
  <c r="S10" i="5"/>
  <c r="R10" i="5"/>
  <c r="Q10" i="5"/>
  <c r="P10" i="5"/>
  <c r="O10" i="5"/>
  <c r="N10" i="5"/>
  <c r="M10" i="5"/>
  <c r="AT9" i="5"/>
  <c r="AS9" i="5"/>
  <c r="AR9" i="5"/>
  <c r="AQ9" i="5"/>
  <c r="AP9" i="5"/>
  <c r="AO9" i="5"/>
  <c r="AN9" i="5"/>
  <c r="AM9" i="5"/>
  <c r="AL9" i="5"/>
  <c r="AK9" i="5"/>
  <c r="AJ9" i="5"/>
  <c r="AI9" i="5"/>
  <c r="AH9" i="5"/>
  <c r="AG9" i="5"/>
  <c r="AF9" i="5"/>
  <c r="AE9" i="5"/>
  <c r="AD9" i="5"/>
  <c r="AB9" i="5"/>
  <c r="AA9" i="5"/>
  <c r="Z9" i="5"/>
  <c r="Y9" i="5"/>
  <c r="X9" i="5"/>
  <c r="W9" i="5"/>
  <c r="V9" i="5"/>
  <c r="U9" i="5"/>
  <c r="S9" i="5"/>
  <c r="R9" i="5"/>
  <c r="Q9" i="5"/>
  <c r="P9" i="5"/>
  <c r="O9" i="5"/>
  <c r="N9" i="5"/>
  <c r="M9" i="5"/>
  <c r="L9" i="5"/>
  <c r="AU8" i="5"/>
  <c r="AT8" i="5"/>
  <c r="AS8" i="5"/>
  <c r="AQ8" i="5"/>
  <c r="AP8" i="5"/>
  <c r="AO8" i="5"/>
  <c r="AN8" i="5"/>
  <c r="AM8" i="5"/>
  <c r="AK8" i="5"/>
  <c r="AJ8" i="5"/>
  <c r="AI8" i="5"/>
  <c r="AH8" i="5"/>
  <c r="AG8" i="5"/>
  <c r="AE8" i="5"/>
  <c r="AD8" i="5"/>
  <c r="AC8" i="5"/>
  <c r="AB8" i="5"/>
  <c r="AA8" i="5"/>
  <c r="Z8" i="5"/>
  <c r="Y8" i="5"/>
  <c r="X8" i="5"/>
  <c r="W8" i="5"/>
  <c r="V8" i="5"/>
  <c r="U8" i="5"/>
  <c r="Q8" i="5"/>
  <c r="P8" i="5"/>
  <c r="O8" i="5"/>
  <c r="N8" i="5"/>
  <c r="M8" i="5"/>
  <c r="L8" i="5"/>
  <c r="AU7" i="5"/>
  <c r="AT7" i="5"/>
  <c r="AS7" i="5"/>
  <c r="AR7" i="5"/>
  <c r="AQ7" i="5"/>
  <c r="AO7" i="5"/>
  <c r="AN7" i="5"/>
  <c r="AM7" i="5"/>
  <c r="AL7" i="5"/>
  <c r="AK7" i="5"/>
  <c r="AI7" i="5"/>
  <c r="AH7" i="5"/>
  <c r="AG7" i="5"/>
  <c r="AF7" i="5"/>
  <c r="AE7" i="5"/>
  <c r="AC7" i="5"/>
  <c r="AB7" i="5"/>
  <c r="AA7" i="5"/>
  <c r="Z7" i="5"/>
  <c r="Y7" i="5"/>
  <c r="X7" i="5"/>
  <c r="W7" i="5"/>
  <c r="V7" i="5"/>
  <c r="U7" i="5"/>
  <c r="T7" i="5"/>
  <c r="S7" i="5"/>
  <c r="R7" i="5"/>
  <c r="Q7" i="5"/>
  <c r="P7" i="5"/>
  <c r="O7" i="5"/>
  <c r="AU6" i="5"/>
  <c r="AT6" i="5"/>
  <c r="AS6" i="5"/>
  <c r="AR6" i="5"/>
  <c r="AQ6" i="5"/>
  <c r="AP6" i="5"/>
  <c r="AO6" i="5"/>
  <c r="AN6" i="5"/>
  <c r="AM6" i="5"/>
  <c r="AL6" i="5"/>
  <c r="AJ6" i="5"/>
  <c r="AI6" i="5"/>
  <c r="AH6" i="5"/>
  <c r="AG6" i="5"/>
  <c r="AF6" i="5"/>
  <c r="AE6" i="5"/>
  <c r="AD6" i="5"/>
  <c r="AC6" i="5"/>
  <c r="AB6" i="5"/>
  <c r="AA6" i="5"/>
  <c r="Z6" i="5"/>
  <c r="Y6" i="5"/>
  <c r="X6" i="5"/>
  <c r="W6" i="5"/>
  <c r="V6" i="5"/>
  <c r="U6" i="5"/>
  <c r="T6" i="5"/>
  <c r="S6" i="5"/>
  <c r="R6" i="5"/>
  <c r="N6" i="5"/>
  <c r="M6" i="5"/>
  <c r="L6" i="5"/>
  <c r="J6" i="5"/>
  <c r="AK6" i="5" s="1"/>
  <c r="AU5" i="5"/>
  <c r="AT5" i="5"/>
  <c r="AS5" i="5"/>
  <c r="AR5" i="5"/>
  <c r="AQ5" i="5"/>
  <c r="AP5" i="5"/>
  <c r="AO5" i="5"/>
  <c r="AN5" i="5"/>
  <c r="AM5" i="5"/>
  <c r="AL5" i="5"/>
  <c r="AJ5" i="5"/>
  <c r="AI5" i="5"/>
  <c r="AH5" i="5"/>
  <c r="AG5" i="5"/>
  <c r="AF5" i="5"/>
  <c r="AE5" i="5"/>
  <c r="AD5" i="5"/>
  <c r="AC5" i="5"/>
  <c r="AB5" i="5"/>
  <c r="AA5" i="5"/>
  <c r="Z5" i="5"/>
  <c r="Y5" i="5"/>
  <c r="X5" i="5"/>
  <c r="W5" i="5"/>
  <c r="V5" i="5"/>
  <c r="U5" i="5"/>
  <c r="T5" i="5"/>
  <c r="S5" i="5"/>
  <c r="R5" i="5"/>
  <c r="Q5" i="5"/>
  <c r="O5" i="5"/>
  <c r="N5" i="5"/>
  <c r="M5" i="5"/>
  <c r="L5" i="5"/>
  <c r="AU4" i="5"/>
  <c r="AT4" i="5"/>
  <c r="AS4" i="5"/>
  <c r="AR4" i="5"/>
  <c r="AQ4" i="5"/>
  <c r="AP4" i="5"/>
  <c r="AO4" i="5"/>
  <c r="AN4" i="5"/>
  <c r="AM4" i="5"/>
  <c r="AL4" i="5"/>
  <c r="AK4" i="5"/>
  <c r="AJ4" i="5"/>
  <c r="AI4" i="5"/>
  <c r="AH4" i="5"/>
  <c r="AG4" i="5"/>
  <c r="AF4" i="5"/>
  <c r="AD4" i="5"/>
  <c r="AC4" i="5"/>
  <c r="AB4" i="5"/>
  <c r="AA4" i="5"/>
  <c r="Z4" i="5"/>
  <c r="Y4" i="5"/>
  <c r="X4" i="5"/>
  <c r="W4" i="5"/>
  <c r="V4" i="5"/>
  <c r="U4" i="5"/>
  <c r="T4" i="5"/>
  <c r="S4" i="5"/>
  <c r="R4" i="5"/>
  <c r="Q4" i="5"/>
  <c r="P4" i="5"/>
  <c r="N4" i="5"/>
  <c r="M4" i="5"/>
  <c r="L4" i="5"/>
  <c r="AU3" i="5"/>
  <c r="AT3" i="5"/>
  <c r="AS3" i="5"/>
  <c r="AR3" i="5"/>
  <c r="AQ3" i="5"/>
  <c r="AP3" i="5"/>
  <c r="AO3" i="5"/>
  <c r="AN3" i="5"/>
  <c r="AM3" i="5"/>
  <c r="AL3" i="5"/>
  <c r="AJ3" i="5"/>
  <c r="AI3" i="5"/>
  <c r="AH3" i="5"/>
  <c r="AG3" i="5"/>
  <c r="AF3" i="5"/>
  <c r="AE3" i="5"/>
  <c r="AD3" i="5"/>
  <c r="AC3" i="5"/>
  <c r="AB3" i="5"/>
  <c r="AA3" i="5"/>
  <c r="Z3" i="5"/>
  <c r="Y3" i="5"/>
  <c r="X3" i="5"/>
  <c r="W3" i="5"/>
  <c r="V3" i="5"/>
  <c r="U3" i="5"/>
  <c r="T3" i="5"/>
  <c r="S3" i="5"/>
  <c r="R3" i="5"/>
  <c r="Q3" i="5"/>
  <c r="O3" i="5"/>
  <c r="N3" i="5"/>
  <c r="M3" i="5"/>
  <c r="L3" i="5"/>
  <c r="AU2" i="5"/>
  <c r="AT2" i="5"/>
  <c r="AS2" i="5"/>
  <c r="AR2" i="5"/>
  <c r="AQ2" i="5"/>
  <c r="AP2" i="5"/>
  <c r="AO2" i="5"/>
  <c r="AN2" i="5"/>
  <c r="AM2" i="5"/>
  <c r="AL2" i="5"/>
  <c r="AK2" i="5"/>
  <c r="AI2" i="5"/>
  <c r="AH2" i="5"/>
  <c r="AG2" i="5"/>
  <c r="AF2" i="5"/>
  <c r="AE2" i="5"/>
  <c r="AD2" i="5"/>
  <c r="AC2" i="5"/>
  <c r="AB2" i="5"/>
  <c r="AA2" i="5"/>
  <c r="Z2" i="5"/>
  <c r="Y2" i="5"/>
  <c r="X2" i="5"/>
  <c r="W2" i="5"/>
  <c r="V2" i="5"/>
  <c r="U2" i="5"/>
  <c r="T2" i="5"/>
  <c r="S2" i="5"/>
  <c r="R2" i="5"/>
  <c r="Q2" i="5"/>
  <c r="P2" i="5"/>
  <c r="O2" i="5"/>
  <c r="N2" i="5"/>
  <c r="L2" i="5"/>
  <c r="A1" i="4"/>
  <c r="AA51" i="3"/>
  <c r="S50" i="3"/>
  <c r="AC50" i="3" s="1"/>
  <c r="Q50" i="3"/>
  <c r="AA50" i="3" s="1"/>
  <c r="AD49" i="3"/>
  <c r="AC48" i="3"/>
  <c r="AB48" i="3"/>
  <c r="R50" i="3" s="1"/>
  <c r="AB50" i="3" s="1"/>
  <c r="AA48" i="3"/>
  <c r="AM31" i="3"/>
  <c r="AL31" i="3"/>
  <c r="AK31" i="3"/>
  <c r="AM29" i="3"/>
  <c r="AL29" i="3"/>
  <c r="AK29" i="3"/>
  <c r="AM21" i="3"/>
  <c r="AM23" i="3" s="1"/>
  <c r="AL21" i="3"/>
  <c r="AL23" i="3" s="1"/>
  <c r="AK21" i="3"/>
  <c r="AK23" i="3" s="1"/>
  <c r="N18" i="3"/>
  <c r="M18" i="3"/>
  <c r="L18" i="3"/>
  <c r="K18" i="3"/>
  <c r="J18" i="3"/>
  <c r="I18" i="3"/>
  <c r="B18" i="3"/>
  <c r="N17" i="3"/>
  <c r="M17" i="3"/>
  <c r="L17" i="3"/>
  <c r="K17" i="3"/>
  <c r="J17" i="3"/>
  <c r="I17" i="3"/>
  <c r="B17" i="3"/>
  <c r="J96" i="6" s="1"/>
  <c r="AE96" i="6" s="1"/>
  <c r="AM16" i="3"/>
  <c r="AL16" i="3"/>
  <c r="AL32" i="3" s="1"/>
  <c r="N15" i="3"/>
  <c r="M15" i="3"/>
  <c r="L15" i="3"/>
  <c r="K15" i="3"/>
  <c r="J15" i="3"/>
  <c r="I15" i="3"/>
  <c r="B15" i="3"/>
  <c r="AM14" i="3"/>
  <c r="AL14" i="3"/>
  <c r="AK14" i="3"/>
  <c r="AK16" i="3" s="1"/>
  <c r="N14" i="3"/>
  <c r="M14" i="3"/>
  <c r="L14" i="3"/>
  <c r="K14" i="3"/>
  <c r="J14" i="3"/>
  <c r="I14" i="3"/>
  <c r="B14" i="3"/>
  <c r="J80" i="5" s="1"/>
  <c r="N13" i="3"/>
  <c r="M13" i="3"/>
  <c r="L13" i="3"/>
  <c r="K13" i="3"/>
  <c r="J13" i="3"/>
  <c r="I13" i="3"/>
  <c r="B13" i="3"/>
  <c r="J60" i="7" s="1"/>
  <c r="AR60" i="7" s="1"/>
  <c r="N12" i="3"/>
  <c r="M12" i="3"/>
  <c r="L12" i="3"/>
  <c r="K12" i="3"/>
  <c r="J12" i="3"/>
  <c r="I12" i="3"/>
  <c r="B12" i="3"/>
  <c r="N11" i="3"/>
  <c r="M11" i="3"/>
  <c r="L11" i="3"/>
  <c r="K11" i="3"/>
  <c r="J11" i="3"/>
  <c r="I11" i="3"/>
  <c r="B11" i="3"/>
  <c r="Q9" i="3"/>
  <c r="Y132" i="2"/>
  <c r="X132" i="2"/>
  <c r="Z130" i="2" s="1"/>
  <c r="D109" i="5" s="1"/>
  <c r="S109" i="5" s="1"/>
  <c r="W132" i="2"/>
  <c r="Y130" i="2"/>
  <c r="X130" i="2"/>
  <c r="Y126" i="2"/>
  <c r="X126" i="2"/>
  <c r="W126" i="2"/>
  <c r="O126" i="2"/>
  <c r="N126" i="2"/>
  <c r="M126" i="2"/>
  <c r="Y124" i="2"/>
  <c r="AB124" i="2" s="1"/>
  <c r="D108" i="7" s="1"/>
  <c r="O124" i="2"/>
  <c r="Y120" i="2"/>
  <c r="X120" i="2"/>
  <c r="W120" i="2"/>
  <c r="O120" i="2"/>
  <c r="N120" i="2"/>
  <c r="M120" i="2"/>
  <c r="AA118" i="2"/>
  <c r="D103" i="6" s="1"/>
  <c r="Y118" i="2"/>
  <c r="R118" i="2"/>
  <c r="D104" i="7" s="1"/>
  <c r="P118" i="2"/>
  <c r="D104" i="5" s="1"/>
  <c r="O118" i="2"/>
  <c r="Y114" i="2"/>
  <c r="X114" i="2"/>
  <c r="W114" i="2"/>
  <c r="O114" i="2"/>
  <c r="N114" i="2"/>
  <c r="R112" i="2" s="1"/>
  <c r="S114" i="2" s="1"/>
  <c r="D2" i="7" s="1"/>
  <c r="M114" i="2"/>
  <c r="AB112" i="2"/>
  <c r="D101" i="7" s="1"/>
  <c r="T101" i="7" s="1"/>
  <c r="Z112" i="2"/>
  <c r="D101" i="5" s="1"/>
  <c r="T101" i="5" s="1"/>
  <c r="Y112" i="2"/>
  <c r="X112" i="2"/>
  <c r="O112" i="2"/>
  <c r="N112" i="2"/>
  <c r="S111" i="2"/>
  <c r="AS108" i="2"/>
  <c r="AR108" i="2"/>
  <c r="AQ108" i="2"/>
  <c r="AV106" i="2" s="1"/>
  <c r="D105" i="7" s="1"/>
  <c r="Y108" i="2"/>
  <c r="X108" i="2"/>
  <c r="W108" i="2"/>
  <c r="O108" i="2"/>
  <c r="N108" i="2"/>
  <c r="M108" i="2"/>
  <c r="E108" i="2"/>
  <c r="D108" i="2"/>
  <c r="C108" i="2"/>
  <c r="H106" i="2" s="1"/>
  <c r="D106" i="7" s="1"/>
  <c r="N106" i="7" s="1"/>
  <c r="AU106" i="2"/>
  <c r="D105" i="6" s="1"/>
  <c r="AT106" i="2"/>
  <c r="D105" i="5" s="1"/>
  <c r="AS106" i="2"/>
  <c r="Y106" i="2"/>
  <c r="O106" i="2"/>
  <c r="N106" i="2"/>
  <c r="G106" i="2"/>
  <c r="D106" i="6" s="1"/>
  <c r="E106" i="2"/>
  <c r="AW105" i="2"/>
  <c r="J105" i="7" s="1"/>
  <c r="AT105" i="7" s="1"/>
  <c r="AS102" i="2"/>
  <c r="AR102" i="2"/>
  <c r="AQ102" i="2"/>
  <c r="AC102" i="2"/>
  <c r="D6" i="7" s="1"/>
  <c r="T6" i="7" s="1"/>
  <c r="Y102" i="2"/>
  <c r="X102" i="2"/>
  <c r="W102" i="2"/>
  <c r="O102" i="2"/>
  <c r="N102" i="2"/>
  <c r="R100" i="2" s="1"/>
  <c r="D39" i="7" s="1"/>
  <c r="M102" i="2"/>
  <c r="E102" i="2"/>
  <c r="D102" i="2"/>
  <c r="C102" i="2"/>
  <c r="F100" i="2" s="1"/>
  <c r="D2" i="5" s="1"/>
  <c r="M2" i="5" s="1"/>
  <c r="AS100" i="2"/>
  <c r="AR100" i="2"/>
  <c r="AB100" i="2"/>
  <c r="AA100" i="2"/>
  <c r="Y100" i="2"/>
  <c r="O100" i="2"/>
  <c r="E100" i="2"/>
  <c r="D100" i="2"/>
  <c r="AC99" i="2"/>
  <c r="J6" i="7" s="1"/>
  <c r="AR6" i="7" s="1"/>
  <c r="BC96" i="2"/>
  <c r="BB96" i="2"/>
  <c r="BA96" i="2"/>
  <c r="AS96" i="2"/>
  <c r="AR96" i="2"/>
  <c r="AQ96" i="2"/>
  <c r="AU94" i="2" s="1"/>
  <c r="D58" i="6" s="1"/>
  <c r="P58" i="6" s="1"/>
  <c r="Y96" i="2"/>
  <c r="X96" i="2"/>
  <c r="W96" i="2"/>
  <c r="Z94" i="2" s="1"/>
  <c r="D13" i="5" s="1"/>
  <c r="T13" i="5" s="1"/>
  <c r="O96" i="2"/>
  <c r="N96" i="2"/>
  <c r="M96" i="2"/>
  <c r="E96" i="2"/>
  <c r="D96" i="2"/>
  <c r="C96" i="2"/>
  <c r="F94" i="2" s="1"/>
  <c r="D45" i="5" s="1"/>
  <c r="BC94" i="2"/>
  <c r="AS94" i="2"/>
  <c r="AR94" i="2"/>
  <c r="AV94" i="2" s="1"/>
  <c r="D15" i="7" s="1"/>
  <c r="P15" i="7" s="1"/>
  <c r="Y94" i="2"/>
  <c r="X94" i="2"/>
  <c r="O94" i="2"/>
  <c r="H94" i="2"/>
  <c r="D86" i="7" s="1"/>
  <c r="E94" i="2"/>
  <c r="BC90" i="2"/>
  <c r="BB90" i="2"/>
  <c r="BE88" i="2" s="1"/>
  <c r="D102" i="6" s="1"/>
  <c r="BA90" i="2"/>
  <c r="AS90" i="2"/>
  <c r="AR90" i="2"/>
  <c r="AV88" i="2" s="1"/>
  <c r="D82" i="7" s="1"/>
  <c r="AQ90" i="2"/>
  <c r="Y90" i="2"/>
  <c r="X90" i="2"/>
  <c r="W90" i="2"/>
  <c r="O90" i="2"/>
  <c r="N90" i="2"/>
  <c r="M90" i="2"/>
  <c r="E90" i="2"/>
  <c r="D90" i="2"/>
  <c r="G88" i="2" s="1"/>
  <c r="D24" i="6" s="1"/>
  <c r="C90" i="2"/>
  <c r="BC88" i="2"/>
  <c r="Y88" i="2"/>
  <c r="AB88" i="2" s="1"/>
  <c r="D27" i="7" s="1"/>
  <c r="S27" i="7" s="1"/>
  <c r="O88" i="2"/>
  <c r="E88" i="2"/>
  <c r="BG84" i="2"/>
  <c r="D5" i="7" s="1"/>
  <c r="T5" i="7" s="1"/>
  <c r="BC84" i="2"/>
  <c r="BB84" i="2"/>
  <c r="BA84" i="2"/>
  <c r="AS84" i="2"/>
  <c r="AR84" i="2"/>
  <c r="AQ84" i="2"/>
  <c r="AI84" i="2"/>
  <c r="AH84" i="2"/>
  <c r="AG84" i="2"/>
  <c r="AL82" i="2" s="1"/>
  <c r="AM84" i="2" s="1"/>
  <c r="D3" i="7" s="1"/>
  <c r="Y84" i="2"/>
  <c r="X84" i="2"/>
  <c r="AB82" i="2" s="1"/>
  <c r="D73" i="7" s="1"/>
  <c r="T73" i="7" s="1"/>
  <c r="W84" i="2"/>
  <c r="O84" i="2"/>
  <c r="N84" i="2"/>
  <c r="M84" i="2"/>
  <c r="E84" i="2"/>
  <c r="C84" i="2"/>
  <c r="H82" i="2" s="1"/>
  <c r="D26" i="7" s="1"/>
  <c r="N26" i="7" s="1"/>
  <c r="BF82" i="2"/>
  <c r="BE82" i="2"/>
  <c r="BG83" i="2" s="1"/>
  <c r="D26" i="6" s="1"/>
  <c r="T26" i="6" s="1"/>
  <c r="BD82" i="2"/>
  <c r="BG82" i="2" s="1"/>
  <c r="D26" i="5" s="1"/>
  <c r="T26" i="5" s="1"/>
  <c r="BC82" i="2"/>
  <c r="BB82" i="2"/>
  <c r="AS82" i="2"/>
  <c r="AR82" i="2"/>
  <c r="AI82" i="2"/>
  <c r="AH82" i="2"/>
  <c r="Y82" i="2"/>
  <c r="R82" i="2"/>
  <c r="D52" i="7" s="1"/>
  <c r="Q52" i="7" s="1"/>
  <c r="O82" i="2"/>
  <c r="E82" i="2"/>
  <c r="BG81" i="2"/>
  <c r="J26" i="5" s="1"/>
  <c r="AR26" i="5" s="1"/>
  <c r="AM81" i="2"/>
  <c r="BC78" i="2"/>
  <c r="BB78" i="2"/>
  <c r="BA78" i="2"/>
  <c r="AS78" i="2"/>
  <c r="AR78" i="2"/>
  <c r="AQ78" i="2"/>
  <c r="AV76" i="2" s="1"/>
  <c r="AW78" i="2" s="1"/>
  <c r="D28" i="7" s="1"/>
  <c r="P28" i="7" s="1"/>
  <c r="AI78" i="2"/>
  <c r="AH78" i="2"/>
  <c r="AG78" i="2"/>
  <c r="Y78" i="2"/>
  <c r="X78" i="2"/>
  <c r="W78" i="2"/>
  <c r="O78" i="2"/>
  <c r="N78" i="2"/>
  <c r="M78" i="2"/>
  <c r="E78" i="2"/>
  <c r="D78" i="2"/>
  <c r="C78" i="2"/>
  <c r="BC76" i="2"/>
  <c r="BB76" i="2"/>
  <c r="AS76" i="2"/>
  <c r="AT76" i="2" s="1"/>
  <c r="AW76" i="2" s="1"/>
  <c r="D39" i="5" s="1"/>
  <c r="AL76" i="2"/>
  <c r="D13" i="7" s="1"/>
  <c r="M13" i="7" s="1"/>
  <c r="AK76" i="2"/>
  <c r="D55" i="6" s="1"/>
  <c r="M55" i="6" s="1"/>
  <c r="AJ76" i="2"/>
  <c r="D55" i="5" s="1"/>
  <c r="M55" i="5" s="1"/>
  <c r="AI76" i="2"/>
  <c r="AH76" i="2"/>
  <c r="Y76" i="2"/>
  <c r="AB76" i="2" s="1"/>
  <c r="D32" i="7" s="1"/>
  <c r="X76" i="2"/>
  <c r="O76" i="2"/>
  <c r="N76" i="2"/>
  <c r="R76" i="2" s="1"/>
  <c r="D67" i="7" s="1"/>
  <c r="O67" i="7" s="1"/>
  <c r="E76" i="2"/>
  <c r="AW75" i="2"/>
  <c r="J28" i="7" s="1"/>
  <c r="AK28" i="7" s="1"/>
  <c r="BC72" i="2"/>
  <c r="BB72" i="2"/>
  <c r="BA72" i="2"/>
  <c r="AS72" i="2"/>
  <c r="AR72" i="2"/>
  <c r="AQ72" i="2"/>
  <c r="AI72" i="2"/>
  <c r="AJ70" i="2" s="1"/>
  <c r="D52" i="5" s="1"/>
  <c r="M52" i="5" s="1"/>
  <c r="AH72" i="2"/>
  <c r="AG72" i="2"/>
  <c r="Y72" i="2"/>
  <c r="X72" i="2"/>
  <c r="W72" i="2"/>
  <c r="O72" i="2"/>
  <c r="N72" i="2"/>
  <c r="M72" i="2"/>
  <c r="P70" i="2" s="1"/>
  <c r="D89" i="5" s="1"/>
  <c r="E72" i="2"/>
  <c r="D72" i="2"/>
  <c r="G70" i="2" s="1"/>
  <c r="D88" i="6" s="1"/>
  <c r="C72" i="2"/>
  <c r="BC70" i="2"/>
  <c r="BF70" i="2" s="1"/>
  <c r="D65" i="7" s="1"/>
  <c r="T65" i="7" s="1"/>
  <c r="AS70" i="2"/>
  <c r="AL70" i="2"/>
  <c r="D30" i="7" s="1"/>
  <c r="M30" i="7" s="1"/>
  <c r="AI70" i="2"/>
  <c r="Y70" i="2"/>
  <c r="AB70" i="2" s="1"/>
  <c r="D11" i="7" s="1"/>
  <c r="S11" i="7" s="1"/>
  <c r="E70" i="2"/>
  <c r="F70" i="2" s="1"/>
  <c r="D88" i="5" s="1"/>
  <c r="BC66" i="2"/>
  <c r="BB66" i="2"/>
  <c r="BF64" i="2" s="1"/>
  <c r="D38" i="7" s="1"/>
  <c r="BA66" i="2"/>
  <c r="AS66" i="2"/>
  <c r="AR66" i="2"/>
  <c r="AQ66" i="2"/>
  <c r="AI66" i="2"/>
  <c r="AH66" i="2"/>
  <c r="AL64" i="2" s="1"/>
  <c r="D63" i="7" s="1"/>
  <c r="AG66" i="2"/>
  <c r="Y66" i="2"/>
  <c r="X66" i="2"/>
  <c r="Z64" i="2" s="1"/>
  <c r="AC64" i="2" s="1"/>
  <c r="D19" i="5" s="1"/>
  <c r="W66" i="2"/>
  <c r="O66" i="2"/>
  <c r="R64" i="2" s="1"/>
  <c r="D61" i="7" s="1"/>
  <c r="P61" i="7" s="1"/>
  <c r="N66" i="2"/>
  <c r="M66" i="2"/>
  <c r="E66" i="2"/>
  <c r="D66" i="2"/>
  <c r="C66" i="2"/>
  <c r="AV64" i="2"/>
  <c r="D29" i="7" s="1"/>
  <c r="P29" i="7" s="1"/>
  <c r="AU64" i="2"/>
  <c r="D81" i="6" s="1"/>
  <c r="P81" i="6" s="1"/>
  <c r="AT64" i="2"/>
  <c r="D81" i="5" s="1"/>
  <c r="P81" i="5" s="1"/>
  <c r="AS64" i="2"/>
  <c r="AR64" i="2"/>
  <c r="Y64" i="2"/>
  <c r="Q64" i="2"/>
  <c r="D53" i="6" s="1"/>
  <c r="O64" i="2"/>
  <c r="E64" i="2"/>
  <c r="H64" i="2" s="1"/>
  <c r="D31" i="7" s="1"/>
  <c r="D64" i="2"/>
  <c r="J9" i="7"/>
  <c r="BC60" i="2"/>
  <c r="BB60" i="2"/>
  <c r="BA60" i="2"/>
  <c r="AS60" i="2"/>
  <c r="AR60" i="2"/>
  <c r="AQ60" i="2"/>
  <c r="AI60" i="2"/>
  <c r="AH60" i="2"/>
  <c r="AG60" i="2"/>
  <c r="Y60" i="2"/>
  <c r="AB58" i="2" s="1"/>
  <c r="D53" i="7" s="1"/>
  <c r="S53" i="7" s="1"/>
  <c r="X60" i="2"/>
  <c r="W60" i="2"/>
  <c r="Z58" i="2" s="1"/>
  <c r="D48" i="5" s="1"/>
  <c r="S48" i="5" s="1"/>
  <c r="O60" i="2"/>
  <c r="N60" i="2"/>
  <c r="M60" i="2"/>
  <c r="R58" i="2" s="1"/>
  <c r="D23" i="7" s="1"/>
  <c r="P23" i="7" s="1"/>
  <c r="E60" i="2"/>
  <c r="C60" i="2"/>
  <c r="BC58" i="2"/>
  <c r="BE58" i="2" s="1"/>
  <c r="D73" i="6" s="1"/>
  <c r="AS58" i="2"/>
  <c r="AV58" i="2" s="1"/>
  <c r="D85" i="7" s="1"/>
  <c r="O85" i="7" s="1"/>
  <c r="AR58" i="2"/>
  <c r="AI58" i="2"/>
  <c r="Y58" i="2"/>
  <c r="P58" i="2"/>
  <c r="D5" i="5" s="1"/>
  <c r="P5" i="5" s="1"/>
  <c r="O58" i="2"/>
  <c r="H58" i="2"/>
  <c r="D58" i="7" s="1"/>
  <c r="G58" i="2"/>
  <c r="D91" i="6" s="1"/>
  <c r="E58" i="2"/>
  <c r="BC54" i="2"/>
  <c r="BB54" i="2"/>
  <c r="BA54" i="2"/>
  <c r="AS54" i="2"/>
  <c r="AR54" i="2"/>
  <c r="AQ54" i="2"/>
  <c r="AI54" i="2"/>
  <c r="AH54" i="2"/>
  <c r="AG54" i="2"/>
  <c r="Y54" i="2"/>
  <c r="AB52" i="2" s="1"/>
  <c r="D75" i="7" s="1"/>
  <c r="R75" i="7" s="1"/>
  <c r="X54" i="2"/>
  <c r="W54" i="2"/>
  <c r="O54" i="2"/>
  <c r="N54" i="2"/>
  <c r="M54" i="2"/>
  <c r="E54" i="2"/>
  <c r="D54" i="2"/>
  <c r="C54" i="2"/>
  <c r="BF52" i="2"/>
  <c r="D87" i="7" s="1"/>
  <c r="S87" i="7" s="1"/>
  <c r="BE52" i="2"/>
  <c r="D83" i="6" s="1"/>
  <c r="BC52" i="2"/>
  <c r="BD52" i="2" s="1"/>
  <c r="D83" i="5" s="1"/>
  <c r="AT52" i="2"/>
  <c r="D59" i="5" s="1"/>
  <c r="P59" i="5" s="1"/>
  <c r="AS52" i="2"/>
  <c r="AR52" i="2"/>
  <c r="AI52" i="2"/>
  <c r="Y52" i="2"/>
  <c r="X52" i="2"/>
  <c r="R52" i="2"/>
  <c r="D51" i="7" s="1"/>
  <c r="O51" i="7" s="1"/>
  <c r="P52" i="2"/>
  <c r="D46" i="5" s="1"/>
  <c r="O46" i="5" s="1"/>
  <c r="O52" i="2"/>
  <c r="E52" i="2"/>
  <c r="BC48" i="2"/>
  <c r="BB48" i="2"/>
  <c r="BA48" i="2"/>
  <c r="AS48" i="2"/>
  <c r="AR48" i="2"/>
  <c r="AV46" i="2" s="1"/>
  <c r="D81" i="7" s="1"/>
  <c r="O81" i="7" s="1"/>
  <c r="AQ48" i="2"/>
  <c r="AI48" i="2"/>
  <c r="AH48" i="2"/>
  <c r="AG48" i="2"/>
  <c r="AL46" i="2" s="1"/>
  <c r="AM48" i="2" s="1"/>
  <c r="D76" i="7" s="1"/>
  <c r="L76" i="7" s="1"/>
  <c r="Y48" i="2"/>
  <c r="X48" i="2"/>
  <c r="W48" i="2"/>
  <c r="AB46" i="2" s="1"/>
  <c r="D41" i="7" s="1"/>
  <c r="S41" i="7" s="1"/>
  <c r="O48" i="2"/>
  <c r="N48" i="2"/>
  <c r="M48" i="2"/>
  <c r="R46" i="2" s="1"/>
  <c r="D20" i="7" s="1"/>
  <c r="P20" i="7" s="1"/>
  <c r="E48" i="2"/>
  <c r="H46" i="2" s="1"/>
  <c r="D97" i="7" s="1"/>
  <c r="L97" i="7" s="1"/>
  <c r="D48" i="2"/>
  <c r="C48" i="2"/>
  <c r="BC46" i="2"/>
  <c r="BB46" i="2"/>
  <c r="AS46" i="2"/>
  <c r="AI46" i="2"/>
  <c r="Z46" i="2"/>
  <c r="D69" i="5" s="1"/>
  <c r="Y46" i="2"/>
  <c r="O46" i="2"/>
  <c r="N46" i="2"/>
  <c r="P46" i="2" s="1"/>
  <c r="D3" i="5" s="1"/>
  <c r="P3" i="5" s="1"/>
  <c r="E46" i="2"/>
  <c r="AM45" i="2"/>
  <c r="BC42" i="2"/>
  <c r="BE40" i="2" s="1"/>
  <c r="D74" i="6" s="1"/>
  <c r="R74" i="6" s="1"/>
  <c r="BB42" i="2"/>
  <c r="BA42" i="2"/>
  <c r="AS42" i="2"/>
  <c r="AR42" i="2"/>
  <c r="AQ42" i="2"/>
  <c r="AI42" i="2"/>
  <c r="AH42" i="2"/>
  <c r="AG42" i="2"/>
  <c r="Y42" i="2"/>
  <c r="X42" i="2"/>
  <c r="W42" i="2"/>
  <c r="AB40" i="2" s="1"/>
  <c r="D46" i="7" s="1"/>
  <c r="O42" i="2"/>
  <c r="N42" i="2"/>
  <c r="M42" i="2"/>
  <c r="P40" i="2" s="1"/>
  <c r="D33" i="5" s="1"/>
  <c r="E42" i="2"/>
  <c r="D42" i="2"/>
  <c r="C42" i="2"/>
  <c r="BC40" i="2"/>
  <c r="AV40" i="2"/>
  <c r="D34" i="7" s="1"/>
  <c r="AU40" i="2"/>
  <c r="D49" i="6" s="1"/>
  <c r="AS40" i="2"/>
  <c r="AK40" i="2"/>
  <c r="AM41" i="2" s="1"/>
  <c r="D90" i="6" s="1"/>
  <c r="M90" i="6" s="1"/>
  <c r="Y40" i="2"/>
  <c r="R40" i="2"/>
  <c r="D42" i="7" s="1"/>
  <c r="P42" i="7" s="1"/>
  <c r="O40" i="2"/>
  <c r="H40" i="2"/>
  <c r="D64" i="7" s="1"/>
  <c r="F40" i="2"/>
  <c r="D15" i="5" s="1"/>
  <c r="E40" i="2"/>
  <c r="AM39" i="2"/>
  <c r="J48" i="7" s="1"/>
  <c r="AJ48" i="7" s="1"/>
  <c r="BG36" i="2"/>
  <c r="D66" i="7" s="1"/>
  <c r="S66" i="7" s="1"/>
  <c r="BC36" i="2"/>
  <c r="BB36" i="2"/>
  <c r="BA36" i="2"/>
  <c r="AS36" i="2"/>
  <c r="AR36" i="2"/>
  <c r="AQ36" i="2"/>
  <c r="AI36" i="2"/>
  <c r="AH36" i="2"/>
  <c r="AK34" i="2" s="1"/>
  <c r="D84" i="6" s="1"/>
  <c r="M84" i="6" s="1"/>
  <c r="AG36" i="2"/>
  <c r="Y36" i="2"/>
  <c r="X36" i="2"/>
  <c r="AB34" i="2" s="1"/>
  <c r="D62" i="7" s="1"/>
  <c r="W36" i="2"/>
  <c r="O36" i="2"/>
  <c r="N36" i="2"/>
  <c r="M36" i="2"/>
  <c r="E36" i="2"/>
  <c r="D36" i="2"/>
  <c r="C36" i="2"/>
  <c r="BG34" i="2"/>
  <c r="D40" i="5" s="1"/>
  <c r="S40" i="5" s="1"/>
  <c r="BF34" i="2"/>
  <c r="BD34" i="2"/>
  <c r="BC34" i="2"/>
  <c r="AS34" i="2"/>
  <c r="AV34" i="2" s="1"/>
  <c r="AW36" i="2" s="1"/>
  <c r="D59" i="7" s="1"/>
  <c r="O59" i="7" s="1"/>
  <c r="AI34" i="2"/>
  <c r="AA34" i="2"/>
  <c r="D86" i="6" s="1"/>
  <c r="Y34" i="2"/>
  <c r="R34" i="2"/>
  <c r="D24" i="7" s="1"/>
  <c r="O34" i="2"/>
  <c r="E34" i="2"/>
  <c r="G34" i="2" s="1"/>
  <c r="D70" i="6" s="1"/>
  <c r="BG33" i="2"/>
  <c r="AW33" i="2"/>
  <c r="J59" i="7" s="1"/>
  <c r="AE59" i="7" s="1"/>
  <c r="BC30" i="2"/>
  <c r="BB30" i="2"/>
  <c r="BA30" i="2"/>
  <c r="BF28" i="2" s="1"/>
  <c r="D96" i="7" s="1"/>
  <c r="AS30" i="2"/>
  <c r="AR30" i="2"/>
  <c r="AQ30" i="2"/>
  <c r="AV28" i="2" s="1"/>
  <c r="D88" i="7" s="1"/>
  <c r="O88" i="7" s="1"/>
  <c r="AI30" i="2"/>
  <c r="AH30" i="2"/>
  <c r="AG30" i="2"/>
  <c r="Y30" i="2"/>
  <c r="X30" i="2"/>
  <c r="AB28" i="2" s="1"/>
  <c r="D83" i="7" s="1"/>
  <c r="W30" i="2"/>
  <c r="Z28" i="2" s="1"/>
  <c r="D23" i="5" s="1"/>
  <c r="O30" i="2"/>
  <c r="N30" i="2"/>
  <c r="M30" i="2"/>
  <c r="R28" i="2" s="1"/>
  <c r="D74" i="7" s="1"/>
  <c r="E30" i="2"/>
  <c r="D30" i="2"/>
  <c r="C30" i="2"/>
  <c r="BC28" i="2"/>
  <c r="AS28" i="2"/>
  <c r="AL28" i="2"/>
  <c r="D94" i="7" s="1"/>
  <c r="AI28" i="2"/>
  <c r="AA28" i="2"/>
  <c r="D23" i="6" s="1"/>
  <c r="Y28" i="2"/>
  <c r="O28" i="2"/>
  <c r="E28" i="2"/>
  <c r="BC24" i="2"/>
  <c r="BD22" i="2" s="1"/>
  <c r="D98" i="5" s="1"/>
  <c r="BB24" i="2"/>
  <c r="BA24" i="2"/>
  <c r="BF22" i="2" s="1"/>
  <c r="D89" i="7" s="1"/>
  <c r="AS24" i="2"/>
  <c r="AR24" i="2"/>
  <c r="AQ24" i="2"/>
  <c r="AU22" i="2" s="1"/>
  <c r="D93" i="6" s="1"/>
  <c r="AI24" i="2"/>
  <c r="AH24" i="2"/>
  <c r="AG24" i="2"/>
  <c r="AL22" i="2" s="1"/>
  <c r="D99" i="7" s="1"/>
  <c r="Y24" i="2"/>
  <c r="X24" i="2"/>
  <c r="W24" i="2"/>
  <c r="AB22" i="2" s="1"/>
  <c r="D91" i="7" s="1"/>
  <c r="O24" i="2"/>
  <c r="N24" i="2"/>
  <c r="M24" i="2"/>
  <c r="E24" i="2"/>
  <c r="D24" i="2"/>
  <c r="C24" i="2"/>
  <c r="BC22" i="2"/>
  <c r="AS22" i="2"/>
  <c r="AT22" i="2" s="1"/>
  <c r="D93" i="5" s="1"/>
  <c r="AJ22" i="2"/>
  <c r="D92" i="5" s="1"/>
  <c r="AI22" i="2"/>
  <c r="Y22" i="2"/>
  <c r="O22" i="2"/>
  <c r="H22" i="2"/>
  <c r="D84" i="7" s="1"/>
  <c r="E22" i="2"/>
  <c r="F22" i="2" s="1"/>
  <c r="D60" i="5" s="1"/>
  <c r="BC18" i="2"/>
  <c r="BB18" i="2"/>
  <c r="BD16" i="2" s="1"/>
  <c r="BG16" i="2" s="1"/>
  <c r="D25" i="5" s="1"/>
  <c r="BA18" i="2"/>
  <c r="AS18" i="2"/>
  <c r="AR18" i="2"/>
  <c r="AQ18" i="2"/>
  <c r="AI18" i="2"/>
  <c r="AL16" i="2" s="1"/>
  <c r="AM18" i="2" s="1"/>
  <c r="D8" i="7" s="1"/>
  <c r="AH18" i="2"/>
  <c r="AG18" i="2"/>
  <c r="AJ16" i="2" s="1"/>
  <c r="AM16" i="2" s="1"/>
  <c r="D35" i="5" s="1"/>
  <c r="Y18" i="2"/>
  <c r="X18" i="2"/>
  <c r="W18" i="2"/>
  <c r="AA16" i="2" s="1"/>
  <c r="D30" i="6" s="1"/>
  <c r="O18" i="2"/>
  <c r="N18" i="2"/>
  <c r="M18" i="2"/>
  <c r="R16" i="2" s="1"/>
  <c r="D72" i="7" s="1"/>
  <c r="P72" i="7" s="1"/>
  <c r="E18" i="2"/>
  <c r="D18" i="2"/>
  <c r="C18" i="2"/>
  <c r="F16" i="2" s="1"/>
  <c r="D43" i="5" s="1"/>
  <c r="BF16" i="2"/>
  <c r="BG18" i="2" s="1"/>
  <c r="D17" i="7" s="1"/>
  <c r="BC16" i="2"/>
  <c r="AS16" i="2"/>
  <c r="AK16" i="2"/>
  <c r="AM17" i="2" s="1"/>
  <c r="D35" i="6" s="1"/>
  <c r="AI16" i="2"/>
  <c r="AB16" i="2"/>
  <c r="D40" i="7" s="1"/>
  <c r="Y16" i="2"/>
  <c r="O16" i="2"/>
  <c r="H16" i="2"/>
  <c r="D50" i="7" s="1"/>
  <c r="G16" i="2"/>
  <c r="D43" i="6" s="1"/>
  <c r="E16" i="2"/>
  <c r="BC12" i="2"/>
  <c r="BB12" i="2"/>
  <c r="BA12" i="2"/>
  <c r="AS12" i="2"/>
  <c r="AR12" i="2"/>
  <c r="AT10" i="2" s="1"/>
  <c r="AW10" i="2" s="1"/>
  <c r="D36" i="5" s="1"/>
  <c r="AQ12" i="2"/>
  <c r="AI12" i="2"/>
  <c r="AJ10" i="2" s="1"/>
  <c r="AM10" i="2" s="1"/>
  <c r="D64" i="5" s="1"/>
  <c r="AH12" i="2"/>
  <c r="AG12" i="2"/>
  <c r="AL10" i="2" s="1"/>
  <c r="AM12" i="2" s="1"/>
  <c r="D79" i="7" s="1"/>
  <c r="Y12" i="2"/>
  <c r="X12" i="2"/>
  <c r="W12" i="2"/>
  <c r="O12" i="2"/>
  <c r="N12" i="2"/>
  <c r="M12" i="2"/>
  <c r="Q10" i="2" s="1"/>
  <c r="D78" i="6" s="1"/>
  <c r="E12" i="2"/>
  <c r="D12" i="2"/>
  <c r="C12" i="2"/>
  <c r="G10" i="2" s="1"/>
  <c r="D18" i="6" s="1"/>
  <c r="BC10" i="2"/>
  <c r="BE10" i="2" s="1"/>
  <c r="BG11" i="2" s="1"/>
  <c r="D66" i="6" s="1"/>
  <c r="AS10" i="2"/>
  <c r="AV10" i="2" s="1"/>
  <c r="AW12" i="2" s="1"/>
  <c r="D7" i="7" s="1"/>
  <c r="AI10" i="2"/>
  <c r="Y10" i="2"/>
  <c r="Z10" i="2" s="1"/>
  <c r="D42" i="5" s="1"/>
  <c r="O10" i="2"/>
  <c r="R10" i="2" s="1"/>
  <c r="D54" i="7" s="1"/>
  <c r="H10" i="2"/>
  <c r="D16" i="7" s="1"/>
  <c r="E10" i="2"/>
  <c r="BC6" i="2"/>
  <c r="BB6" i="2"/>
  <c r="BA6" i="2"/>
  <c r="AS6" i="2"/>
  <c r="AR6" i="2"/>
  <c r="AV4" i="2" s="1"/>
  <c r="AW6" i="2" s="1"/>
  <c r="D78" i="7" s="1"/>
  <c r="AQ6" i="2"/>
  <c r="AI6" i="2"/>
  <c r="AH6" i="2"/>
  <c r="AJ4" i="2" s="1"/>
  <c r="D75" i="5" s="1"/>
  <c r="AG6" i="2"/>
  <c r="AL4" i="2" s="1"/>
  <c r="D22" i="7" s="1"/>
  <c r="Y6" i="2"/>
  <c r="X6" i="2"/>
  <c r="AB4" i="2" s="1"/>
  <c r="D49" i="7" s="1"/>
  <c r="W6" i="2"/>
  <c r="O6" i="2"/>
  <c r="N6" i="2"/>
  <c r="M6" i="2"/>
  <c r="R4" i="2" s="1"/>
  <c r="D90" i="7" s="1"/>
  <c r="E6" i="2"/>
  <c r="D6" i="2"/>
  <c r="G4" i="2" s="1"/>
  <c r="D51" i="6" s="1"/>
  <c r="C6" i="2"/>
  <c r="BF4" i="2"/>
  <c r="D70" i="7" s="1"/>
  <c r="BC4" i="2"/>
  <c r="BE4" i="2" s="1"/>
  <c r="D99" i="6" s="1"/>
  <c r="AS4" i="2"/>
  <c r="AU4" i="2" s="1"/>
  <c r="AW5" i="2" s="1"/>
  <c r="D65" i="6" s="1"/>
  <c r="AI4" i="2"/>
  <c r="Z4" i="2"/>
  <c r="D82" i="5" s="1"/>
  <c r="Y4" i="2"/>
  <c r="O4" i="2"/>
  <c r="E4" i="2"/>
  <c r="F4" i="2" s="1"/>
  <c r="D51" i="5" s="1"/>
  <c r="P54" i="7" l="1"/>
  <c r="O54" i="7"/>
  <c r="Q54" i="7"/>
  <c r="O93" i="6"/>
  <c r="Q93" i="6"/>
  <c r="P93" i="6"/>
  <c r="S83" i="5"/>
  <c r="Z83" i="5"/>
  <c r="U88" i="6"/>
  <c r="L88" i="6"/>
  <c r="N3" i="7"/>
  <c r="M3" i="7"/>
  <c r="L3" i="7"/>
  <c r="Q82" i="7"/>
  <c r="P82" i="7"/>
  <c r="O82" i="7"/>
  <c r="S108" i="7"/>
  <c r="Z108" i="7"/>
  <c r="Q65" i="6"/>
  <c r="O65" i="6"/>
  <c r="P65" i="6"/>
  <c r="N22" i="7"/>
  <c r="L22" i="7"/>
  <c r="M22" i="7"/>
  <c r="T42" i="5"/>
  <c r="S42" i="5"/>
  <c r="R42" i="5"/>
  <c r="N45" i="5"/>
  <c r="M45" i="5"/>
  <c r="L45" i="5"/>
  <c r="N75" i="5"/>
  <c r="M75" i="5"/>
  <c r="L75" i="5"/>
  <c r="T89" i="7"/>
  <c r="S89" i="7"/>
  <c r="R89" i="7"/>
  <c r="AC102" i="6"/>
  <c r="T102" i="6"/>
  <c r="R66" i="6"/>
  <c r="T66" i="6"/>
  <c r="S66" i="6"/>
  <c r="N64" i="5"/>
  <c r="M64" i="5"/>
  <c r="L64" i="5"/>
  <c r="R30" i="6"/>
  <c r="AC30" i="6"/>
  <c r="T30" i="6"/>
  <c r="S30" i="6"/>
  <c r="Z30" i="6"/>
  <c r="W30" i="6"/>
  <c r="N60" i="5"/>
  <c r="M60" i="5"/>
  <c r="L60" i="5"/>
  <c r="T62" i="7"/>
  <c r="R62" i="7"/>
  <c r="S62" i="7"/>
  <c r="P39" i="5"/>
  <c r="Y39" i="5"/>
  <c r="Q89" i="5"/>
  <c r="AB89" i="5"/>
  <c r="M24" i="6"/>
  <c r="X24" i="6"/>
  <c r="L51" i="6"/>
  <c r="N51" i="6"/>
  <c r="M51" i="6"/>
  <c r="Q78" i="7"/>
  <c r="O78" i="7"/>
  <c r="P78" i="7"/>
  <c r="N18" i="6"/>
  <c r="L18" i="6"/>
  <c r="M18" i="6"/>
  <c r="R98" i="5"/>
  <c r="T98" i="5"/>
  <c r="S98" i="5"/>
  <c r="O74" i="7"/>
  <c r="P74" i="7"/>
  <c r="Q74" i="7"/>
  <c r="S96" i="7"/>
  <c r="R96" i="7"/>
  <c r="T96" i="7"/>
  <c r="L88" i="5"/>
  <c r="U88" i="5"/>
  <c r="Q39" i="7"/>
  <c r="P39" i="7"/>
  <c r="O39" i="7"/>
  <c r="S99" i="6"/>
  <c r="R99" i="6"/>
  <c r="T99" i="6"/>
  <c r="Q7" i="7"/>
  <c r="O7" i="7"/>
  <c r="P7" i="7"/>
  <c r="N35" i="6"/>
  <c r="M35" i="6"/>
  <c r="L35" i="6"/>
  <c r="W19" i="5"/>
  <c r="T19" i="5"/>
  <c r="S19" i="5"/>
  <c r="AC19" i="5"/>
  <c r="Z19" i="5"/>
  <c r="R19" i="5"/>
  <c r="O2" i="7"/>
  <c r="Q2" i="7"/>
  <c r="P2" i="7"/>
  <c r="N79" i="7"/>
  <c r="L79" i="7"/>
  <c r="M79" i="7"/>
  <c r="M31" i="7"/>
  <c r="L31" i="7"/>
  <c r="N31" i="7"/>
  <c r="S91" i="7"/>
  <c r="T91" i="7"/>
  <c r="R91" i="7"/>
  <c r="M15" i="5"/>
  <c r="N15" i="5"/>
  <c r="L15" i="5"/>
  <c r="Q90" i="7"/>
  <c r="O90" i="7"/>
  <c r="P90" i="7"/>
  <c r="P33" i="5"/>
  <c r="Y33" i="5"/>
  <c r="N51" i="5"/>
  <c r="M51" i="5"/>
  <c r="L51" i="5"/>
  <c r="Q78" i="6"/>
  <c r="P78" i="6"/>
  <c r="O78" i="6"/>
  <c r="T23" i="5"/>
  <c r="S23" i="5"/>
  <c r="R23" i="5"/>
  <c r="Q105" i="7"/>
  <c r="AB105" i="7"/>
  <c r="AA52" i="3"/>
  <c r="AC52" i="3" s="1"/>
  <c r="S49" i="7"/>
  <c r="R49" i="7"/>
  <c r="T49" i="7"/>
  <c r="N35" i="5"/>
  <c r="M35" i="5"/>
  <c r="L35" i="5"/>
  <c r="S17" i="7"/>
  <c r="R17" i="7"/>
  <c r="T17" i="7"/>
  <c r="L8" i="7"/>
  <c r="N8" i="7"/>
  <c r="M8" i="7"/>
  <c r="M99" i="7"/>
  <c r="L99" i="7"/>
  <c r="N99" i="7"/>
  <c r="T83" i="7"/>
  <c r="S83" i="7"/>
  <c r="R83" i="7"/>
  <c r="M63" i="7"/>
  <c r="L63" i="7"/>
  <c r="N63" i="7"/>
  <c r="AB105" i="5"/>
  <c r="Q105" i="5"/>
  <c r="R25" i="5"/>
  <c r="T25" i="5"/>
  <c r="S25" i="5"/>
  <c r="Q36" i="5"/>
  <c r="P36" i="5"/>
  <c r="O36" i="5"/>
  <c r="S73" i="6"/>
  <c r="R73" i="6"/>
  <c r="T73" i="6"/>
  <c r="U43" i="5"/>
  <c r="AA43" i="5"/>
  <c r="N43" i="5"/>
  <c r="M43" i="5"/>
  <c r="X43" i="5"/>
  <c r="L43" i="5"/>
  <c r="P93" i="5"/>
  <c r="O93" i="5"/>
  <c r="Q93" i="5"/>
  <c r="U70" i="6"/>
  <c r="M70" i="6"/>
  <c r="X70" i="6"/>
  <c r="L70" i="6"/>
  <c r="N70" i="6"/>
  <c r="AA70" i="6"/>
  <c r="T32" i="7"/>
  <c r="S32" i="7"/>
  <c r="R32" i="7"/>
  <c r="AO80" i="5"/>
  <c r="AI80" i="5"/>
  <c r="AU80" i="5"/>
  <c r="M92" i="5"/>
  <c r="L92" i="5"/>
  <c r="G28" i="2"/>
  <c r="D27" i="6" s="1"/>
  <c r="L27" i="6" s="1"/>
  <c r="D27" i="5"/>
  <c r="L27" i="5" s="1"/>
  <c r="P24" i="7"/>
  <c r="O24" i="7"/>
  <c r="Q24" i="7"/>
  <c r="Z69" i="5"/>
  <c r="S69" i="5"/>
  <c r="AA91" i="6"/>
  <c r="N91" i="6"/>
  <c r="M91" i="6"/>
  <c r="U91" i="6"/>
  <c r="X91" i="6"/>
  <c r="L91" i="6"/>
  <c r="AV100" i="2"/>
  <c r="D18" i="7" s="1"/>
  <c r="O18" i="7" s="1"/>
  <c r="Q104" i="5"/>
  <c r="AB104" i="5"/>
  <c r="J93" i="6"/>
  <c r="J63" i="6"/>
  <c r="J45" i="6"/>
  <c r="J27" i="6"/>
  <c r="AD27" i="6" s="1"/>
  <c r="J21" i="6"/>
  <c r="AF21" i="6" s="1"/>
  <c r="J15" i="6"/>
  <c r="J3" i="6"/>
  <c r="AK3" i="6" s="1"/>
  <c r="J92" i="6"/>
  <c r="J68" i="6"/>
  <c r="J62" i="6"/>
  <c r="J44" i="6"/>
  <c r="AD44" i="6" s="1"/>
  <c r="J38" i="6"/>
  <c r="J32" i="6"/>
  <c r="AD32" i="6" s="1"/>
  <c r="J8" i="6"/>
  <c r="J109" i="6"/>
  <c r="AL109" i="6" s="1"/>
  <c r="J103" i="6"/>
  <c r="J67" i="6"/>
  <c r="J61" i="6"/>
  <c r="J37" i="6"/>
  <c r="AS37" i="6" s="1"/>
  <c r="J31" i="6"/>
  <c r="AR31" i="6" s="1"/>
  <c r="J77" i="6"/>
  <c r="J71" i="6"/>
  <c r="AE71" i="6" s="1"/>
  <c r="J59" i="6"/>
  <c r="AK59" i="6" s="1"/>
  <c r="J76" i="6"/>
  <c r="AD76" i="6" s="1"/>
  <c r="J12" i="6"/>
  <c r="AL12" i="6" s="1"/>
  <c r="J7" i="6"/>
  <c r="J5" i="6"/>
  <c r="AK5" i="6" s="1"/>
  <c r="J23" i="6"/>
  <c r="J18" i="6"/>
  <c r="J54" i="6"/>
  <c r="AE54" i="6" s="1"/>
  <c r="J52" i="6"/>
  <c r="AJ52" i="6" s="1"/>
  <c r="J40" i="6"/>
  <c r="AL40" i="6" s="1"/>
  <c r="J28" i="6"/>
  <c r="AK28" i="6" s="1"/>
  <c r="J13" i="6"/>
  <c r="AR13" i="6" s="1"/>
  <c r="J4" i="6"/>
  <c r="AE4" i="6" s="1"/>
  <c r="Q46" i="2"/>
  <c r="D3" i="6" s="1"/>
  <c r="P3" i="6" s="1"/>
  <c r="J10" i="6"/>
  <c r="AG10" i="6" s="1"/>
  <c r="J25" i="6"/>
  <c r="J16" i="6"/>
  <c r="AE16" i="6" s="1"/>
  <c r="AA76" i="2"/>
  <c r="D8" i="6" s="1"/>
  <c r="J41" i="6"/>
  <c r="AU41" i="6" s="1"/>
  <c r="J11" i="6"/>
  <c r="Q88" i="2"/>
  <c r="D11" i="6" s="1"/>
  <c r="J42" i="6"/>
  <c r="AU58" i="2"/>
  <c r="D54" i="6" s="1"/>
  <c r="O54" i="6" s="1"/>
  <c r="J60" i="6"/>
  <c r="J107" i="5"/>
  <c r="AH107" i="5" s="1"/>
  <c r="J101" i="5"/>
  <c r="AR101" i="5" s="1"/>
  <c r="J83" i="5"/>
  <c r="AO83" i="5" s="1"/>
  <c r="J53" i="5"/>
  <c r="AN53" i="5" s="1"/>
  <c r="J47" i="5"/>
  <c r="AT47" i="5" s="1"/>
  <c r="J29" i="5"/>
  <c r="J46" i="5"/>
  <c r="AH46" i="5" s="1"/>
  <c r="J72" i="6"/>
  <c r="J105" i="5"/>
  <c r="AT105" i="5" s="1"/>
  <c r="J73" i="5"/>
  <c r="J20" i="5"/>
  <c r="AN20" i="5" s="1"/>
  <c r="J2" i="5"/>
  <c r="AJ2" i="5" s="1"/>
  <c r="J57" i="5"/>
  <c r="AG57" i="5" s="1"/>
  <c r="J104" i="5"/>
  <c r="AT104" i="5" s="1"/>
  <c r="J30" i="5"/>
  <c r="J39" i="5"/>
  <c r="AN39" i="5" s="1"/>
  <c r="J50" i="5"/>
  <c r="AL50" i="5" s="1"/>
  <c r="J49" i="5"/>
  <c r="J34" i="5"/>
  <c r="J102" i="5"/>
  <c r="AU102" i="5" s="1"/>
  <c r="J72" i="5"/>
  <c r="J48" i="5"/>
  <c r="AL48" i="5" s="1"/>
  <c r="AA4" i="2"/>
  <c r="D82" i="6" s="1"/>
  <c r="R22" i="2"/>
  <c r="D43" i="7" s="1"/>
  <c r="AA46" i="2"/>
  <c r="D69" i="6" s="1"/>
  <c r="G46" i="2"/>
  <c r="D44" i="6" s="1"/>
  <c r="L44" i="6" s="1"/>
  <c r="L58" i="7"/>
  <c r="N58" i="7"/>
  <c r="M58" i="7"/>
  <c r="AT58" i="2"/>
  <c r="D54" i="5" s="1"/>
  <c r="O54" i="5" s="1"/>
  <c r="AJ58" i="2"/>
  <c r="D57" i="5" s="1"/>
  <c r="F64" i="2"/>
  <c r="D7" i="5" s="1"/>
  <c r="T38" i="7"/>
  <c r="R38" i="7"/>
  <c r="S38" i="7"/>
  <c r="F76" i="2"/>
  <c r="D10" i="5" s="1"/>
  <c r="BE76" i="2"/>
  <c r="D56" i="6" s="1"/>
  <c r="T56" i="6" s="1"/>
  <c r="BD76" i="2"/>
  <c r="D56" i="5" s="1"/>
  <c r="T56" i="5" s="1"/>
  <c r="Q94" i="2"/>
  <c r="D20" i="6" s="1"/>
  <c r="AT100" i="2"/>
  <c r="D22" i="5" s="1"/>
  <c r="O22" i="5" s="1"/>
  <c r="Z106" i="2"/>
  <c r="D9" i="5" s="1"/>
  <c r="AB106" i="2"/>
  <c r="D12" i="7" s="1"/>
  <c r="T12" i="7" s="1"/>
  <c r="AA106" i="2"/>
  <c r="D9" i="6" s="1"/>
  <c r="AB104" i="7"/>
  <c r="Q104" i="7"/>
  <c r="J9" i="5"/>
  <c r="AU9" i="5" s="1"/>
  <c r="V46" i="5"/>
  <c r="J63" i="5"/>
  <c r="T82" i="5"/>
  <c r="S82" i="5"/>
  <c r="R82" i="5"/>
  <c r="T40" i="7"/>
  <c r="R40" i="7"/>
  <c r="S40" i="7"/>
  <c r="T23" i="6"/>
  <c r="S23" i="6"/>
  <c r="R23" i="6"/>
  <c r="J110" i="5"/>
  <c r="AO110" i="5" s="1"/>
  <c r="BD4" i="2"/>
  <c r="D99" i="5" s="1"/>
  <c r="F10" i="2"/>
  <c r="D18" i="5" s="1"/>
  <c r="AK10" i="2"/>
  <c r="AM11" i="2" s="1"/>
  <c r="D64" i="6" s="1"/>
  <c r="AK22" i="2"/>
  <c r="D92" i="6" s="1"/>
  <c r="BE34" i="2"/>
  <c r="BG35" i="2" s="1"/>
  <c r="D40" i="6" s="1"/>
  <c r="S40" i="6" s="1"/>
  <c r="G22" i="2"/>
  <c r="D60" i="6" s="1"/>
  <c r="Z34" i="2"/>
  <c r="D86" i="5" s="1"/>
  <c r="AL34" i="2"/>
  <c r="D37" i="7" s="1"/>
  <c r="M37" i="7" s="1"/>
  <c r="BF40" i="2"/>
  <c r="D36" i="7" s="1"/>
  <c r="R36" i="7" s="1"/>
  <c r="AU46" i="2"/>
  <c r="D96" i="6" s="1"/>
  <c r="O96" i="6" s="1"/>
  <c r="AK52" i="2"/>
  <c r="D94" i="6" s="1"/>
  <c r="M94" i="6" s="1"/>
  <c r="AB64" i="2"/>
  <c r="AC66" i="2" s="1"/>
  <c r="D9" i="7" s="1"/>
  <c r="AT70" i="2"/>
  <c r="D71" i="5" s="1"/>
  <c r="O71" i="5" s="1"/>
  <c r="AA82" i="2"/>
  <c r="D31" i="6" s="1"/>
  <c r="T31" i="6" s="1"/>
  <c r="F88" i="2"/>
  <c r="D24" i="5" s="1"/>
  <c r="AU100" i="2"/>
  <c r="D22" i="6" s="1"/>
  <c r="O22" i="6" s="1"/>
  <c r="R124" i="2"/>
  <c r="D107" i="7" s="1"/>
  <c r="Q124" i="2"/>
  <c r="D107" i="6" s="1"/>
  <c r="J65" i="5"/>
  <c r="J94" i="5"/>
  <c r="AJ94" i="5" s="1"/>
  <c r="J82" i="5"/>
  <c r="J70" i="5"/>
  <c r="J64" i="5"/>
  <c r="J87" i="5"/>
  <c r="AH87" i="5" s="1"/>
  <c r="J97" i="5"/>
  <c r="AE97" i="5" s="1"/>
  <c r="J96" i="5"/>
  <c r="AE96" i="5" s="1"/>
  <c r="J98" i="5"/>
  <c r="J66" i="5"/>
  <c r="J19" i="5"/>
  <c r="J86" i="5"/>
  <c r="J74" i="5"/>
  <c r="AF74" i="5" s="1"/>
  <c r="J69" i="5"/>
  <c r="AO69" i="5" s="1"/>
  <c r="J51" i="5"/>
  <c r="J78" i="5"/>
  <c r="J17" i="5"/>
  <c r="AU17" i="5" s="1"/>
  <c r="J24" i="5"/>
  <c r="AM24" i="5" s="1"/>
  <c r="T86" i="6"/>
  <c r="S86" i="6"/>
  <c r="R86" i="6"/>
  <c r="S103" i="6"/>
  <c r="R103" i="6"/>
  <c r="T103" i="6"/>
  <c r="N50" i="7"/>
  <c r="M50" i="7"/>
  <c r="L50" i="7"/>
  <c r="N64" i="7"/>
  <c r="L64" i="7"/>
  <c r="M64" i="7"/>
  <c r="Z52" i="2"/>
  <c r="D21" i="5" s="1"/>
  <c r="R21" i="5" s="1"/>
  <c r="Q58" i="2"/>
  <c r="D5" i="6" s="1"/>
  <c r="P5" i="6" s="1"/>
  <c r="P53" i="6"/>
  <c r="Y53" i="6"/>
  <c r="AB94" i="2"/>
  <c r="D60" i="7" s="1"/>
  <c r="T60" i="7" s="1"/>
  <c r="AA94" i="2"/>
  <c r="D13" i="6" s="1"/>
  <c r="T13" i="6" s="1"/>
  <c r="Q105" i="6"/>
  <c r="AB105" i="6"/>
  <c r="J105" i="6"/>
  <c r="AT105" i="6" s="1"/>
  <c r="J57" i="6"/>
  <c r="AG57" i="6" s="1"/>
  <c r="J39" i="6"/>
  <c r="AN39" i="6" s="1"/>
  <c r="J33" i="6"/>
  <c r="AN33" i="6" s="1"/>
  <c r="J9" i="6"/>
  <c r="AU9" i="6" s="1"/>
  <c r="J110" i="6"/>
  <c r="AO110" i="6" s="1"/>
  <c r="J104" i="6"/>
  <c r="AT104" i="6" s="1"/>
  <c r="J50" i="6"/>
  <c r="AL50" i="6" s="1"/>
  <c r="J20" i="6"/>
  <c r="AN20" i="6" s="1"/>
  <c r="J2" i="6"/>
  <c r="AJ2" i="6" s="1"/>
  <c r="J73" i="6"/>
  <c r="J49" i="6"/>
  <c r="J43" i="6"/>
  <c r="J107" i="6"/>
  <c r="AH107" i="6" s="1"/>
  <c r="J101" i="6"/>
  <c r="AR101" i="6" s="1"/>
  <c r="J83" i="6"/>
  <c r="AO83" i="6" s="1"/>
  <c r="J53" i="6"/>
  <c r="AN53" i="6" s="1"/>
  <c r="J47" i="6"/>
  <c r="AT47" i="6" s="1"/>
  <c r="J22" i="6"/>
  <c r="AE22" i="6" s="1"/>
  <c r="J102" i="6"/>
  <c r="AU102" i="6" s="1"/>
  <c r="J48" i="6"/>
  <c r="AL48" i="6" s="1"/>
  <c r="J34" i="6"/>
  <c r="J46" i="6"/>
  <c r="AH46" i="6" s="1"/>
  <c r="J30" i="6"/>
  <c r="AK4" i="2"/>
  <c r="D75" i="6" s="1"/>
  <c r="P10" i="2"/>
  <c r="D78" i="5" s="1"/>
  <c r="AV16" i="2"/>
  <c r="D95" i="7" s="1"/>
  <c r="P22" i="2"/>
  <c r="D34" i="5" s="1"/>
  <c r="D71" i="7"/>
  <c r="L71" i="7" s="1"/>
  <c r="AT28" i="2"/>
  <c r="D97" i="5" s="1"/>
  <c r="O97" i="5" s="1"/>
  <c r="H34" i="2"/>
  <c r="D44" i="7" s="1"/>
  <c r="AU34" i="2"/>
  <c r="AW35" i="2" s="1"/>
  <c r="D87" i="6" s="1"/>
  <c r="AT34" i="2"/>
  <c r="AW34" i="2" s="1"/>
  <c r="D87" i="5" s="1"/>
  <c r="AA52" i="2"/>
  <c r="D21" i="6" s="1"/>
  <c r="R21" i="6" s="1"/>
  <c r="H52" i="2"/>
  <c r="D92" i="7" s="1"/>
  <c r="L92" i="7" s="1"/>
  <c r="AV52" i="2"/>
  <c r="D93" i="7" s="1"/>
  <c r="P93" i="7" s="1"/>
  <c r="AU52" i="2"/>
  <c r="D59" i="6" s="1"/>
  <c r="P59" i="6" s="1"/>
  <c r="BD64" i="2"/>
  <c r="D85" i="5" s="1"/>
  <c r="H70" i="2"/>
  <c r="D45" i="7" s="1"/>
  <c r="L45" i="7" s="1"/>
  <c r="AV70" i="2"/>
  <c r="D98" i="7" s="1"/>
  <c r="O98" i="7" s="1"/>
  <c r="AU70" i="2"/>
  <c r="D71" i="6" s="1"/>
  <c r="O71" i="6" s="1"/>
  <c r="Q76" i="2"/>
  <c r="D16" i="6" s="1"/>
  <c r="O16" i="6" s="1"/>
  <c r="AJ82" i="2"/>
  <c r="AM82" i="2" s="1"/>
  <c r="D14" i="5" s="1"/>
  <c r="AT94" i="2"/>
  <c r="D58" i="5" s="1"/>
  <c r="P58" i="5" s="1"/>
  <c r="G100" i="2"/>
  <c r="D2" i="6" s="1"/>
  <c r="M2" i="6" s="1"/>
  <c r="Q112" i="2"/>
  <c r="S113" i="2" s="1"/>
  <c r="D6" i="6" s="1"/>
  <c r="Q118" i="2"/>
  <c r="D104" i="6" s="1"/>
  <c r="AA124" i="2"/>
  <c r="D108" i="6" s="1"/>
  <c r="Z124" i="2"/>
  <c r="D108" i="5" s="1"/>
  <c r="J77" i="5"/>
  <c r="J71" i="5"/>
  <c r="AE71" i="5" s="1"/>
  <c r="J59" i="5"/>
  <c r="AK59" i="5" s="1"/>
  <c r="J41" i="5"/>
  <c r="AU41" i="5" s="1"/>
  <c r="J76" i="5"/>
  <c r="AD76" i="5" s="1"/>
  <c r="J52" i="5"/>
  <c r="AJ52" i="5" s="1"/>
  <c r="J40" i="5"/>
  <c r="AL40" i="5" s="1"/>
  <c r="J93" i="5"/>
  <c r="J109" i="5"/>
  <c r="AL109" i="5" s="1"/>
  <c r="J103" i="5"/>
  <c r="J28" i="5"/>
  <c r="AK28" i="5" s="1"/>
  <c r="J21" i="5"/>
  <c r="AF21" i="5" s="1"/>
  <c r="J8" i="5"/>
  <c r="J31" i="5"/>
  <c r="AR31" i="5" s="1"/>
  <c r="J27" i="5"/>
  <c r="AD27" i="5" s="1"/>
  <c r="J13" i="5"/>
  <c r="AR13" i="5" s="1"/>
  <c r="J7" i="5"/>
  <c r="J67" i="5"/>
  <c r="Z82" i="2"/>
  <c r="D31" i="5" s="1"/>
  <c r="T31" i="5" s="1"/>
  <c r="J68" i="5"/>
  <c r="J38" i="5"/>
  <c r="J18" i="5"/>
  <c r="J12" i="5"/>
  <c r="AL12" i="5" s="1"/>
  <c r="Z76" i="2"/>
  <c r="D8" i="5" s="1"/>
  <c r="J25" i="5"/>
  <c r="J54" i="5"/>
  <c r="AE54" i="5" s="1"/>
  <c r="J37" i="5"/>
  <c r="AS37" i="5" s="1"/>
  <c r="J11" i="5"/>
  <c r="J5" i="5"/>
  <c r="AK5" i="5" s="1"/>
  <c r="J62" i="5"/>
  <c r="J45" i="5"/>
  <c r="J44" i="5"/>
  <c r="AD44" i="5" s="1"/>
  <c r="J42" i="5"/>
  <c r="J16" i="5"/>
  <c r="AE16" i="5" s="1"/>
  <c r="J10" i="5"/>
  <c r="AG10" i="5" s="1"/>
  <c r="J4" i="5"/>
  <c r="AE4" i="5" s="1"/>
  <c r="J60" i="5"/>
  <c r="J32" i="5"/>
  <c r="AD32" i="5" s="1"/>
  <c r="J15" i="5"/>
  <c r="J43" i="5"/>
  <c r="S70" i="7"/>
  <c r="T70" i="7"/>
  <c r="R70" i="7"/>
  <c r="Q34" i="7"/>
  <c r="P34" i="7"/>
  <c r="O34" i="7"/>
  <c r="AK46" i="2"/>
  <c r="AM47" i="2" s="1"/>
  <c r="D76" i="6" s="1"/>
  <c r="L76" i="6" s="1"/>
  <c r="P76" i="2"/>
  <c r="D16" i="5" s="1"/>
  <c r="O16" i="5" s="1"/>
  <c r="J14" i="6"/>
  <c r="J3" i="7"/>
  <c r="J14" i="5"/>
  <c r="H88" i="2"/>
  <c r="D10" i="7" s="1"/>
  <c r="M10" i="7" s="1"/>
  <c r="H4" i="2"/>
  <c r="D19" i="7" s="1"/>
  <c r="AU10" i="2"/>
  <c r="AW11" i="2" s="1"/>
  <c r="D36" i="6" s="1"/>
  <c r="P16" i="2"/>
  <c r="D28" i="5" s="1"/>
  <c r="P28" i="5" s="1"/>
  <c r="Q22" i="2"/>
  <c r="D34" i="6" s="1"/>
  <c r="AU28" i="2"/>
  <c r="D97" i="6" s="1"/>
  <c r="O97" i="6" s="1"/>
  <c r="AJ34" i="2"/>
  <c r="D84" i="5" s="1"/>
  <c r="M84" i="5" s="1"/>
  <c r="Q40" i="2"/>
  <c r="D33" i="6" s="1"/>
  <c r="BD40" i="2"/>
  <c r="D74" i="5" s="1"/>
  <c r="R74" i="5" s="1"/>
  <c r="AL40" i="2"/>
  <c r="AM42" i="2" s="1"/>
  <c r="D48" i="7" s="1"/>
  <c r="M48" i="7" s="1"/>
  <c r="F46" i="2"/>
  <c r="D44" i="5" s="1"/>
  <c r="L44" i="5" s="1"/>
  <c r="BE64" i="2"/>
  <c r="D85" i="6" s="1"/>
  <c r="AK64" i="2"/>
  <c r="D95" i="6" s="1"/>
  <c r="AK82" i="2"/>
  <c r="AM83" i="2" s="1"/>
  <c r="D14" i="6" s="1"/>
  <c r="AU82" i="2"/>
  <c r="D72" i="6" s="1"/>
  <c r="AT82" i="2"/>
  <c r="D72" i="5" s="1"/>
  <c r="P88" i="2"/>
  <c r="D11" i="5" s="1"/>
  <c r="R88" i="2"/>
  <c r="D56" i="7" s="1"/>
  <c r="Q100" i="2"/>
  <c r="D29" i="6" s="1"/>
  <c r="P100" i="2"/>
  <c r="D29" i="5" s="1"/>
  <c r="F106" i="2"/>
  <c r="D106" i="5" s="1"/>
  <c r="J61" i="5"/>
  <c r="AA43" i="6"/>
  <c r="N43" i="6"/>
  <c r="M43" i="6"/>
  <c r="X43" i="6"/>
  <c r="U43" i="6"/>
  <c r="L43" i="6"/>
  <c r="N94" i="7"/>
  <c r="L94" i="7"/>
  <c r="M94" i="7"/>
  <c r="AB49" i="6"/>
  <c r="P49" i="6"/>
  <c r="O49" i="6"/>
  <c r="Y49" i="6"/>
  <c r="V49" i="6"/>
  <c r="Q49" i="6"/>
  <c r="H100" i="2"/>
  <c r="D4" i="7" s="1"/>
  <c r="M4" i="7" s="1"/>
  <c r="F82" i="2"/>
  <c r="D37" i="5" s="1"/>
  <c r="N106" i="6"/>
  <c r="AA106" i="6"/>
  <c r="AB118" i="2"/>
  <c r="D103" i="7" s="1"/>
  <c r="Z118" i="2"/>
  <c r="D103" i="5" s="1"/>
  <c r="J23" i="5"/>
  <c r="P4" i="2"/>
  <c r="D67" i="5" s="1"/>
  <c r="Z22" i="2"/>
  <c r="D68" i="5" s="1"/>
  <c r="BE22" i="2"/>
  <c r="D98" i="6" s="1"/>
  <c r="Q28" i="2"/>
  <c r="D77" i="6" s="1"/>
  <c r="Q34" i="2"/>
  <c r="D38" i="6" s="1"/>
  <c r="P34" i="2"/>
  <c r="D38" i="5" s="1"/>
  <c r="BF46" i="2"/>
  <c r="D35" i="7" s="1"/>
  <c r="S35" i="7" s="1"/>
  <c r="AJ52" i="2"/>
  <c r="D94" i="5" s="1"/>
  <c r="M94" i="5" s="1"/>
  <c r="Q52" i="2"/>
  <c r="D46" i="6" s="1"/>
  <c r="AA64" i="2"/>
  <c r="AC65" i="2" s="1"/>
  <c r="D19" i="6" s="1"/>
  <c r="G64" i="2"/>
  <c r="D7" i="6" s="1"/>
  <c r="R70" i="2"/>
  <c r="D47" i="7" s="1"/>
  <c r="Q47" i="7" s="1"/>
  <c r="Q70" i="2"/>
  <c r="D89" i="6" s="1"/>
  <c r="BE70" i="2"/>
  <c r="D41" i="6" s="1"/>
  <c r="BD70" i="2"/>
  <c r="D41" i="5" s="1"/>
  <c r="BF76" i="2"/>
  <c r="D14" i="7" s="1"/>
  <c r="T14" i="7" s="1"/>
  <c r="G82" i="2"/>
  <c r="D37" i="6" s="1"/>
  <c r="AA88" i="2"/>
  <c r="D79" i="6" s="1"/>
  <c r="Z88" i="2"/>
  <c r="D79" i="5" s="1"/>
  <c r="N86" i="7"/>
  <c r="M86" i="7"/>
  <c r="L86" i="7"/>
  <c r="AA112" i="2"/>
  <c r="D101" i="6" s="1"/>
  <c r="T101" i="6" s="1"/>
  <c r="AM32" i="3"/>
  <c r="J22" i="5"/>
  <c r="AE22" i="5" s="1"/>
  <c r="J92" i="5"/>
  <c r="J29" i="6"/>
  <c r="M84" i="7"/>
  <c r="L84" i="7"/>
  <c r="N84" i="7"/>
  <c r="BF88" i="2"/>
  <c r="D102" i="7" s="1"/>
  <c r="T102" i="7" s="1"/>
  <c r="BD88" i="2"/>
  <c r="D102" i="5" s="1"/>
  <c r="Q16" i="2"/>
  <c r="D28" i="6" s="1"/>
  <c r="P28" i="6" s="1"/>
  <c r="P28" i="2"/>
  <c r="D77" i="5" s="1"/>
  <c r="BF58" i="2"/>
  <c r="D69" i="7" s="1"/>
  <c r="BD58" i="2"/>
  <c r="D73" i="5" s="1"/>
  <c r="AU16" i="2"/>
  <c r="D62" i="6" s="1"/>
  <c r="AA22" i="2"/>
  <c r="D68" i="6" s="1"/>
  <c r="BD28" i="2"/>
  <c r="D63" i="5" s="1"/>
  <c r="AK28" i="2"/>
  <c r="D61" i="6" s="1"/>
  <c r="AJ28" i="2"/>
  <c r="D61" i="5" s="1"/>
  <c r="F34" i="2"/>
  <c r="D70" i="5" s="1"/>
  <c r="Z40" i="2"/>
  <c r="D80" i="5" s="1"/>
  <c r="G40" i="2"/>
  <c r="D15" i="6" s="1"/>
  <c r="F52" i="2"/>
  <c r="D32" i="5" s="1"/>
  <c r="L32" i="5" s="1"/>
  <c r="AL52" i="2"/>
  <c r="D80" i="7" s="1"/>
  <c r="M80" i="7" s="1"/>
  <c r="AK58" i="2"/>
  <c r="D57" i="6" s="1"/>
  <c r="AT88" i="2"/>
  <c r="D100" i="5" s="1"/>
  <c r="BD94" i="2"/>
  <c r="D110" i="5" s="1"/>
  <c r="AC101" i="2"/>
  <c r="D17" i="6" s="1"/>
  <c r="Z100" i="2"/>
  <c r="D17" i="5" s="1"/>
  <c r="AK32" i="3"/>
  <c r="J87" i="6"/>
  <c r="AH87" i="6" s="1"/>
  <c r="J69" i="6"/>
  <c r="AO69" i="6" s="1"/>
  <c r="J51" i="6"/>
  <c r="J98" i="6"/>
  <c r="J86" i="6"/>
  <c r="J80" i="6"/>
  <c r="J74" i="6"/>
  <c r="AF74" i="6" s="1"/>
  <c r="J97" i="6"/>
  <c r="AE97" i="6" s="1"/>
  <c r="J65" i="6"/>
  <c r="J82" i="6"/>
  <c r="J78" i="6"/>
  <c r="J94" i="6"/>
  <c r="AJ94" i="6" s="1"/>
  <c r="J64" i="6"/>
  <c r="J19" i="6"/>
  <c r="J17" i="6"/>
  <c r="AU17" i="6" s="1"/>
  <c r="J66" i="6"/>
  <c r="J24" i="6"/>
  <c r="AM24" i="6" s="1"/>
  <c r="J70" i="6"/>
  <c r="N92" i="5"/>
  <c r="N16" i="7"/>
  <c r="M16" i="7"/>
  <c r="L16" i="7"/>
  <c r="T46" i="7"/>
  <c r="R46" i="7"/>
  <c r="S46" i="7"/>
  <c r="S83" i="6"/>
  <c r="Z83" i="6"/>
  <c r="AT16" i="2"/>
  <c r="D62" i="5" s="1"/>
  <c r="G94" i="2"/>
  <c r="D45" i="6" s="1"/>
  <c r="J33" i="5"/>
  <c r="AN33" i="5" s="1"/>
  <c r="Q4" i="2"/>
  <c r="D67" i="6" s="1"/>
  <c r="AB10" i="2"/>
  <c r="D33" i="7" s="1"/>
  <c r="Z16" i="2"/>
  <c r="D30" i="5" s="1"/>
  <c r="AA40" i="2"/>
  <c r="D80" i="6" s="1"/>
  <c r="AT40" i="2"/>
  <c r="D49" i="5" s="1"/>
  <c r="BD46" i="2"/>
  <c r="D50" i="5" s="1"/>
  <c r="S50" i="5" s="1"/>
  <c r="G52" i="2"/>
  <c r="D32" i="6" s="1"/>
  <c r="L32" i="6" s="1"/>
  <c r="AA58" i="2"/>
  <c r="D48" i="6" s="1"/>
  <c r="S48" i="6" s="1"/>
  <c r="AJ64" i="2"/>
  <c r="D95" i="5" s="1"/>
  <c r="H76" i="2"/>
  <c r="D55" i="7" s="1"/>
  <c r="L55" i="7" s="1"/>
  <c r="G76" i="2"/>
  <c r="D10" i="6" s="1"/>
  <c r="Q82" i="2"/>
  <c r="D47" i="6" s="1"/>
  <c r="AU88" i="2"/>
  <c r="D100" i="6" s="1"/>
  <c r="P94" i="2"/>
  <c r="D20" i="5" s="1"/>
  <c r="BF94" i="2"/>
  <c r="D110" i="7" s="1"/>
  <c r="BE94" i="2"/>
  <c r="D110" i="6" s="1"/>
  <c r="R106" i="2"/>
  <c r="D21" i="7" s="1"/>
  <c r="O21" i="7" s="1"/>
  <c r="P106" i="2"/>
  <c r="D4" i="5" s="1"/>
  <c r="O4" i="5" s="1"/>
  <c r="AT4" i="2"/>
  <c r="AW4" i="2" s="1"/>
  <c r="D65" i="5" s="1"/>
  <c r="AA10" i="2"/>
  <c r="D42" i="6" s="1"/>
  <c r="BD10" i="2"/>
  <c r="BG10" i="2" s="1"/>
  <c r="D66" i="5" s="1"/>
  <c r="AV22" i="2"/>
  <c r="D100" i="7" s="1"/>
  <c r="BE28" i="2"/>
  <c r="D63" i="6" s="1"/>
  <c r="AJ46" i="2"/>
  <c r="AM46" i="2" s="1"/>
  <c r="D76" i="5" s="1"/>
  <c r="L76" i="5" s="1"/>
  <c r="AL58" i="2"/>
  <c r="D57" i="7" s="1"/>
  <c r="L57" i="7" s="1"/>
  <c r="AL9" i="7"/>
  <c r="AF9" i="7"/>
  <c r="AR9" i="7"/>
  <c r="AU76" i="2"/>
  <c r="AW77" i="2" s="1"/>
  <c r="D39" i="6" s="1"/>
  <c r="BF10" i="2"/>
  <c r="BG12" i="2" s="1"/>
  <c r="D77" i="7" s="1"/>
  <c r="BE16" i="2"/>
  <c r="BG17" i="2" s="1"/>
  <c r="D25" i="6" s="1"/>
  <c r="AJ40" i="2"/>
  <c r="AM40" i="2" s="1"/>
  <c r="D90" i="5" s="1"/>
  <c r="M90" i="5" s="1"/>
  <c r="BE46" i="2"/>
  <c r="D50" i="6" s="1"/>
  <c r="S50" i="6" s="1"/>
  <c r="F58" i="2"/>
  <c r="D91" i="5" s="1"/>
  <c r="P64" i="2"/>
  <c r="D53" i="5" s="1"/>
  <c r="AK70" i="2"/>
  <c r="D52" i="6" s="1"/>
  <c r="M52" i="6" s="1"/>
  <c r="AA70" i="2"/>
  <c r="D12" i="6" s="1"/>
  <c r="S12" i="6" s="1"/>
  <c r="P82" i="2"/>
  <c r="D47" i="5" s="1"/>
  <c r="AV82" i="2"/>
  <c r="D68" i="7" s="1"/>
  <c r="R94" i="2"/>
  <c r="D25" i="7" s="1"/>
  <c r="P25" i="7" s="1"/>
  <c r="Q106" i="2"/>
  <c r="D4" i="6" s="1"/>
  <c r="O4" i="6" s="1"/>
  <c r="P124" i="2"/>
  <c r="D107" i="5" s="1"/>
  <c r="AB130" i="2"/>
  <c r="D109" i="7" s="1"/>
  <c r="S109" i="7" s="1"/>
  <c r="AA130" i="2"/>
  <c r="D109" i="6" s="1"/>
  <c r="S109" i="6" s="1"/>
  <c r="J3" i="5"/>
  <c r="AK3" i="5" s="1"/>
  <c r="J66" i="7"/>
  <c r="AL66" i="7" s="1"/>
  <c r="AQ36" i="5"/>
  <c r="AE36" i="5"/>
  <c r="J33" i="7"/>
  <c r="J90" i="6"/>
  <c r="AJ90" i="6" s="1"/>
  <c r="AT46" i="2"/>
  <c r="D96" i="5" s="1"/>
  <c r="O96" i="5" s="1"/>
  <c r="Z70" i="2"/>
  <c r="D12" i="5" s="1"/>
  <c r="S12" i="5" s="1"/>
  <c r="J5" i="7"/>
  <c r="AR5" i="7" s="1"/>
  <c r="J26" i="6"/>
  <c r="AR26" i="6" s="1"/>
  <c r="P112" i="2"/>
  <c r="S112" i="2" s="1"/>
  <c r="D6" i="5" s="1"/>
  <c r="AK36" i="6"/>
  <c r="AQ36" i="6"/>
  <c r="J109" i="7"/>
  <c r="AL109" i="7" s="1"/>
  <c r="J103" i="7"/>
  <c r="J100" i="7"/>
  <c r="J97" i="7"/>
  <c r="AD97" i="7" s="1"/>
  <c r="J94" i="7"/>
  <c r="J91" i="7"/>
  <c r="J85" i="7"/>
  <c r="AE85" i="7" s="1"/>
  <c r="J76" i="7"/>
  <c r="AD76" i="7" s="1"/>
  <c r="J73" i="7"/>
  <c r="AR73" i="7" s="1"/>
  <c r="J67" i="7"/>
  <c r="AE67" i="7" s="1"/>
  <c r="J64" i="7"/>
  <c r="J55" i="7"/>
  <c r="AD55" i="7" s="1"/>
  <c r="J98" i="7"/>
  <c r="AE98" i="7" s="1"/>
  <c r="J95" i="7"/>
  <c r="J92" i="7"/>
  <c r="AD92" i="7" s="1"/>
  <c r="J86" i="7"/>
  <c r="J83" i="7"/>
  <c r="J74" i="7"/>
  <c r="J71" i="7"/>
  <c r="AD71" i="7" s="1"/>
  <c r="J65" i="7"/>
  <c r="AR65" i="7" s="1"/>
  <c r="J99" i="7"/>
  <c r="J96" i="7"/>
  <c r="J93" i="7"/>
  <c r="AK93" i="7" s="1"/>
  <c r="J90" i="7"/>
  <c r="J84" i="7"/>
  <c r="J72" i="7"/>
  <c r="AK72" i="7" s="1"/>
  <c r="J23" i="7"/>
  <c r="AK23" i="7" s="1"/>
  <c r="J20" i="7"/>
  <c r="AK20" i="7" s="1"/>
  <c r="J17" i="7"/>
  <c r="J11" i="7"/>
  <c r="AL11" i="7" s="1"/>
  <c r="J26" i="7"/>
  <c r="AP26" i="7" s="1"/>
  <c r="J32" i="7"/>
  <c r="J24" i="7"/>
  <c r="J21" i="7"/>
  <c r="AE21" i="7" s="1"/>
  <c r="J30" i="7"/>
  <c r="AJ30" i="7" s="1"/>
  <c r="J16" i="7"/>
  <c r="J56" i="7"/>
  <c r="J31" i="7"/>
  <c r="J75" i="7"/>
  <c r="AF75" i="7" s="1"/>
  <c r="AI85" i="5"/>
  <c r="AU85" i="5"/>
  <c r="AE43" i="7"/>
  <c r="AQ43" i="7"/>
  <c r="AK43" i="7"/>
  <c r="AP63" i="7"/>
  <c r="AJ63" i="7"/>
  <c r="AP35" i="6"/>
  <c r="AD35" i="6"/>
  <c r="AT100" i="6"/>
  <c r="AH100" i="6"/>
  <c r="AN100" i="6"/>
  <c r="AP50" i="7"/>
  <c r="AD50" i="7"/>
  <c r="AJ50" i="7"/>
  <c r="AQ54" i="7"/>
  <c r="AI85" i="6"/>
  <c r="AK34" i="7"/>
  <c r="AQ39" i="7"/>
  <c r="AF38" i="7"/>
  <c r="AJ44" i="7"/>
  <c r="AF40" i="7"/>
  <c r="AF46" i="7"/>
  <c r="AE78" i="7"/>
  <c r="AQ82" i="7"/>
  <c r="AR49" i="7"/>
  <c r="AR70" i="7"/>
  <c r="AF62" i="7"/>
  <c r="AF77" i="7"/>
  <c r="AF89" i="7"/>
  <c r="AQ56" i="7" l="1"/>
  <c r="AE56" i="7"/>
  <c r="AK56" i="7"/>
  <c r="AP84" i="7"/>
  <c r="AJ84" i="7"/>
  <c r="AD84" i="7"/>
  <c r="AR33" i="7"/>
  <c r="AL33" i="7"/>
  <c r="AF33" i="7"/>
  <c r="R25" i="6"/>
  <c r="T25" i="6"/>
  <c r="S25" i="6"/>
  <c r="AP16" i="7"/>
  <c r="AJ16" i="7"/>
  <c r="AD16" i="7"/>
  <c r="AK90" i="7"/>
  <c r="AE90" i="7"/>
  <c r="AQ90" i="7"/>
  <c r="V107" i="5"/>
  <c r="O107" i="5"/>
  <c r="T77" i="7"/>
  <c r="S77" i="7"/>
  <c r="R77" i="7"/>
  <c r="P20" i="5"/>
  <c r="Y20" i="5"/>
  <c r="R33" i="7"/>
  <c r="T33" i="7"/>
  <c r="S33" i="7"/>
  <c r="Y100" i="5"/>
  <c r="Q100" i="5"/>
  <c r="AB100" i="5"/>
  <c r="P100" i="5"/>
  <c r="O100" i="5"/>
  <c r="V100" i="5"/>
  <c r="T73" i="5"/>
  <c r="S73" i="5"/>
  <c r="R73" i="5"/>
  <c r="AR23" i="5"/>
  <c r="AF23" i="5"/>
  <c r="AL23" i="5"/>
  <c r="V29" i="5"/>
  <c r="Y29" i="5"/>
  <c r="P29" i="5"/>
  <c r="O29" i="5"/>
  <c r="AB29" i="5"/>
  <c r="Q29" i="5"/>
  <c r="P33" i="6"/>
  <c r="Y33" i="6"/>
  <c r="Z108" i="6"/>
  <c r="S108" i="6"/>
  <c r="AO30" i="6"/>
  <c r="AI30" i="6"/>
  <c r="AU30" i="6"/>
  <c r="AN49" i="6"/>
  <c r="AT49" i="6"/>
  <c r="AH49" i="6"/>
  <c r="AU19" i="5"/>
  <c r="AI19" i="5"/>
  <c r="AO19" i="5"/>
  <c r="O107" i="7"/>
  <c r="V107" i="7"/>
  <c r="T9" i="6"/>
  <c r="AC9" i="6"/>
  <c r="L57" i="5"/>
  <c r="U57" i="5"/>
  <c r="AR73" i="5"/>
  <c r="AF73" i="5"/>
  <c r="AL73" i="5"/>
  <c r="AR42" i="6"/>
  <c r="AF42" i="6"/>
  <c r="AL42" i="6"/>
  <c r="AJ92" i="6"/>
  <c r="AD92" i="6"/>
  <c r="AP92" i="6"/>
  <c r="P67" i="6"/>
  <c r="O67" i="6"/>
  <c r="Q67" i="6"/>
  <c r="L57" i="6"/>
  <c r="U57" i="6"/>
  <c r="S69" i="7"/>
  <c r="R69" i="7"/>
  <c r="T69" i="7"/>
  <c r="M7" i="6"/>
  <c r="F24" i="8" s="1"/>
  <c r="L7" i="6"/>
  <c r="N7" i="6"/>
  <c r="T103" i="5"/>
  <c r="S103" i="5"/>
  <c r="R103" i="5"/>
  <c r="Q29" i="6"/>
  <c r="O29" i="6"/>
  <c r="AB29" i="6"/>
  <c r="V29" i="6"/>
  <c r="P29" i="6"/>
  <c r="Y29" i="6"/>
  <c r="AJ18" i="5"/>
  <c r="AP18" i="5"/>
  <c r="AD18" i="5"/>
  <c r="AR103" i="5"/>
  <c r="AF103" i="5"/>
  <c r="AL103" i="5"/>
  <c r="Q104" i="6"/>
  <c r="AB104" i="6"/>
  <c r="AL73" i="6"/>
  <c r="AF73" i="6"/>
  <c r="AR73" i="6"/>
  <c r="AR66" i="5"/>
  <c r="AF66" i="5"/>
  <c r="AL66" i="5"/>
  <c r="N92" i="6"/>
  <c r="M92" i="6"/>
  <c r="L92" i="6"/>
  <c r="AQ72" i="5"/>
  <c r="AE72" i="5"/>
  <c r="AK72" i="5"/>
  <c r="Q11" i="6"/>
  <c r="P11" i="6"/>
  <c r="O11" i="6"/>
  <c r="P39" i="6"/>
  <c r="Y39" i="6"/>
  <c r="Q47" i="6"/>
  <c r="AB47" i="6"/>
  <c r="AS70" i="6"/>
  <c r="AG70" i="6"/>
  <c r="AM70" i="6"/>
  <c r="AU80" i="6"/>
  <c r="AI80" i="6"/>
  <c r="AO80" i="6"/>
  <c r="AK38" i="5"/>
  <c r="AQ38" i="5"/>
  <c r="AE38" i="5"/>
  <c r="AR98" i="5"/>
  <c r="AF98" i="5"/>
  <c r="AL98" i="5"/>
  <c r="M24" i="5"/>
  <c r="X24" i="5"/>
  <c r="M64" i="6"/>
  <c r="L64" i="6"/>
  <c r="N64" i="6"/>
  <c r="T9" i="5"/>
  <c r="AC9" i="5"/>
  <c r="AK72" i="6"/>
  <c r="AE72" i="6"/>
  <c r="AQ72" i="6"/>
  <c r="AQ11" i="6"/>
  <c r="AE11" i="6"/>
  <c r="AK11" i="6"/>
  <c r="AM61" i="6"/>
  <c r="R24" i="8" s="1"/>
  <c r="AG61" i="6"/>
  <c r="AS61" i="6"/>
  <c r="AP15" i="6"/>
  <c r="AD15" i="6"/>
  <c r="AJ15" i="6"/>
  <c r="AE100" i="7"/>
  <c r="AQ100" i="7"/>
  <c r="AK100" i="7"/>
  <c r="V100" i="6"/>
  <c r="Q100" i="6"/>
  <c r="AB100" i="6"/>
  <c r="P100" i="6"/>
  <c r="Y100" i="6"/>
  <c r="O100" i="6"/>
  <c r="O87" i="5"/>
  <c r="V87" i="5"/>
  <c r="N18" i="5"/>
  <c r="M18" i="5"/>
  <c r="L18" i="5"/>
  <c r="AN34" i="5"/>
  <c r="AH34" i="5"/>
  <c r="AT34" i="5"/>
  <c r="AP18" i="6"/>
  <c r="AD18" i="6"/>
  <c r="AJ18" i="6"/>
  <c r="AK67" i="6"/>
  <c r="AQ67" i="6"/>
  <c r="AE67" i="6"/>
  <c r="O56" i="7"/>
  <c r="P56" i="7"/>
  <c r="Q56" i="7"/>
  <c r="P24" i="8"/>
  <c r="U10" i="6"/>
  <c r="L10" i="6"/>
  <c r="AL86" i="6"/>
  <c r="AR86" i="6"/>
  <c r="AF86" i="6"/>
  <c r="Q47" i="5"/>
  <c r="AB47" i="5"/>
  <c r="AR66" i="6"/>
  <c r="AF66" i="6"/>
  <c r="AL66" i="6"/>
  <c r="AL98" i="6"/>
  <c r="AR98" i="6"/>
  <c r="AF98" i="6"/>
  <c r="N15" i="6"/>
  <c r="M15" i="6"/>
  <c r="L15" i="6"/>
  <c r="T102" i="5"/>
  <c r="AC102" i="5"/>
  <c r="P72" i="5"/>
  <c r="Q72" i="5"/>
  <c r="O72" i="5"/>
  <c r="AP45" i="5"/>
  <c r="AD45" i="5"/>
  <c r="AJ45" i="5"/>
  <c r="P2" i="8" s="1"/>
  <c r="V87" i="6"/>
  <c r="O87" i="6"/>
  <c r="S99" i="5"/>
  <c r="R99" i="5"/>
  <c r="T99" i="5"/>
  <c r="Y20" i="6"/>
  <c r="P20" i="6"/>
  <c r="AN49" i="5"/>
  <c r="AH49" i="5"/>
  <c r="AT49" i="5"/>
  <c r="AT29" i="5"/>
  <c r="AH29" i="5"/>
  <c r="AN29" i="5"/>
  <c r="S8" i="6"/>
  <c r="R8" i="6"/>
  <c r="T8" i="6"/>
  <c r="AR23" i="6"/>
  <c r="AF23" i="6"/>
  <c r="AL23" i="6"/>
  <c r="AL103" i="6"/>
  <c r="AR103" i="6"/>
  <c r="AF103" i="6"/>
  <c r="O6" i="5"/>
  <c r="Q6" i="5"/>
  <c r="P6" i="5"/>
  <c r="AK24" i="7"/>
  <c r="G15" i="8" s="1"/>
  <c r="AQ24" i="7"/>
  <c r="AE24" i="7"/>
  <c r="O68" i="7"/>
  <c r="P68" i="7"/>
  <c r="Q68" i="7"/>
  <c r="L45" i="6"/>
  <c r="N45" i="6"/>
  <c r="M45" i="6"/>
  <c r="V46" i="6"/>
  <c r="O46" i="6"/>
  <c r="V34" i="6"/>
  <c r="Q34" i="6"/>
  <c r="AB34" i="6"/>
  <c r="P34" i="6"/>
  <c r="O34" i="6"/>
  <c r="Y34" i="6"/>
  <c r="AL68" i="5"/>
  <c r="AR68" i="5"/>
  <c r="AF68" i="5"/>
  <c r="G24" i="8"/>
  <c r="AL32" i="7"/>
  <c r="AF32" i="7"/>
  <c r="AR32" i="7"/>
  <c r="R80" i="5"/>
  <c r="AC80" i="5"/>
  <c r="T80" i="5"/>
  <c r="W80" i="5"/>
  <c r="S80" i="5"/>
  <c r="Z80" i="5"/>
  <c r="AA37" i="5"/>
  <c r="N37" i="5"/>
  <c r="Q72" i="6"/>
  <c r="P72" i="6"/>
  <c r="O72" i="6"/>
  <c r="Q36" i="6"/>
  <c r="P36" i="6"/>
  <c r="O36" i="6"/>
  <c r="AN62" i="5"/>
  <c r="AH62" i="5"/>
  <c r="AT62" i="5"/>
  <c r="AQ67" i="5"/>
  <c r="AE67" i="5"/>
  <c r="AK67" i="5"/>
  <c r="M14" i="5"/>
  <c r="N14" i="5"/>
  <c r="L14" i="5"/>
  <c r="N44" i="7"/>
  <c r="M44" i="7"/>
  <c r="L44" i="7"/>
  <c r="S9" i="7"/>
  <c r="R9" i="7"/>
  <c r="T9" i="7"/>
  <c r="AJ45" i="6"/>
  <c r="AP45" i="6"/>
  <c r="AD45" i="6"/>
  <c r="T103" i="7"/>
  <c r="S103" i="7"/>
  <c r="R103" i="7"/>
  <c r="AR42" i="5"/>
  <c r="AF42" i="5"/>
  <c r="AL42" i="5"/>
  <c r="AT34" i="6"/>
  <c r="AH34" i="6"/>
  <c r="AN34" i="6"/>
  <c r="AK93" i="5"/>
  <c r="AQ93" i="5"/>
  <c r="AE93" i="5"/>
  <c r="X95" i="5"/>
  <c r="L95" i="5"/>
  <c r="U95" i="5"/>
  <c r="AA95" i="5"/>
  <c r="N95" i="5"/>
  <c r="M95" i="5"/>
  <c r="AJ51" i="6"/>
  <c r="AP51" i="6"/>
  <c r="AD51" i="6"/>
  <c r="AK74" i="7"/>
  <c r="AQ74" i="7"/>
  <c r="AE74" i="7"/>
  <c r="AF91" i="7"/>
  <c r="AR91" i="7"/>
  <c r="AL91" i="7"/>
  <c r="AO19" i="6"/>
  <c r="AI19" i="6"/>
  <c r="AU19" i="6"/>
  <c r="N70" i="5"/>
  <c r="M70" i="5"/>
  <c r="X70" i="5"/>
  <c r="L70" i="5"/>
  <c r="AA70" i="5"/>
  <c r="U70" i="5"/>
  <c r="Z79" i="6"/>
  <c r="S79" i="6"/>
  <c r="Q38" i="5"/>
  <c r="P38" i="5"/>
  <c r="O38" i="5"/>
  <c r="M14" i="6"/>
  <c r="N14" i="6"/>
  <c r="L14" i="6"/>
  <c r="N19" i="7"/>
  <c r="M19" i="7"/>
  <c r="L19" i="7"/>
  <c r="AJ7" i="5"/>
  <c r="N2" i="8" s="1"/>
  <c r="AP7" i="5"/>
  <c r="AD7" i="5"/>
  <c r="AJ64" i="5"/>
  <c r="AD64" i="5"/>
  <c r="AP64" i="5"/>
  <c r="S69" i="6"/>
  <c r="Z69" i="6"/>
  <c r="AL25" i="6"/>
  <c r="AF25" i="6"/>
  <c r="AR25" i="6"/>
  <c r="AJ7" i="6"/>
  <c r="O24" i="8" s="1"/>
  <c r="AD7" i="6"/>
  <c r="AP7" i="6"/>
  <c r="AL8" i="6"/>
  <c r="AF8" i="6"/>
  <c r="AR8" i="6"/>
  <c r="AU63" i="6"/>
  <c r="AI63" i="6"/>
  <c r="AO63" i="6"/>
  <c r="AJ64" i="7"/>
  <c r="AD64" i="7"/>
  <c r="AP64" i="7"/>
  <c r="Z19" i="6"/>
  <c r="AC19" i="6"/>
  <c r="W19" i="6"/>
  <c r="T19" i="6"/>
  <c r="S19" i="6"/>
  <c r="R19" i="6"/>
  <c r="AP99" i="7"/>
  <c r="AJ99" i="7"/>
  <c r="AD99" i="7"/>
  <c r="Q11" i="5"/>
  <c r="P11" i="5"/>
  <c r="O11" i="5"/>
  <c r="Q62" i="5"/>
  <c r="AB62" i="5"/>
  <c r="P62" i="5"/>
  <c r="O62" i="5"/>
  <c r="Y62" i="5"/>
  <c r="V62" i="5"/>
  <c r="S79" i="5"/>
  <c r="Z79" i="5"/>
  <c r="AF17" i="7"/>
  <c r="AL17" i="7"/>
  <c r="AR17" i="7"/>
  <c r="AL83" i="7"/>
  <c r="AF83" i="7"/>
  <c r="AR83" i="7"/>
  <c r="AD94" i="7"/>
  <c r="AP94" i="7"/>
  <c r="AJ94" i="7"/>
  <c r="P53" i="5"/>
  <c r="Y53" i="5"/>
  <c r="W63" i="6"/>
  <c r="S63" i="6"/>
  <c r="R63" i="6"/>
  <c r="Z63" i="6"/>
  <c r="T63" i="6"/>
  <c r="AC63" i="6"/>
  <c r="AJ64" i="6"/>
  <c r="AD64" i="6"/>
  <c r="AP64" i="6"/>
  <c r="AA61" i="5"/>
  <c r="N61" i="5"/>
  <c r="M61" i="5"/>
  <c r="X61" i="5"/>
  <c r="L61" i="5"/>
  <c r="U61" i="5"/>
  <c r="AA37" i="6"/>
  <c r="N37" i="6"/>
  <c r="Q38" i="6"/>
  <c r="O38" i="6"/>
  <c r="P38" i="6"/>
  <c r="AA95" i="6"/>
  <c r="N95" i="6"/>
  <c r="L95" i="6"/>
  <c r="X95" i="6"/>
  <c r="U95" i="6"/>
  <c r="M95" i="6"/>
  <c r="AS43" i="5"/>
  <c r="AG43" i="5"/>
  <c r="AM43" i="5"/>
  <c r="AK11" i="5"/>
  <c r="P3" i="8" s="1"/>
  <c r="AE11" i="5"/>
  <c r="AQ11" i="5"/>
  <c r="AQ78" i="5"/>
  <c r="AE78" i="5"/>
  <c r="AK78" i="5"/>
  <c r="AM70" i="5"/>
  <c r="AG70" i="5"/>
  <c r="AS70" i="5"/>
  <c r="AO63" i="5"/>
  <c r="AU63" i="5"/>
  <c r="AI63" i="5"/>
  <c r="U10" i="5"/>
  <c r="L10" i="5"/>
  <c r="Q43" i="7"/>
  <c r="P43" i="7"/>
  <c r="O43" i="7"/>
  <c r="AU30" i="5"/>
  <c r="AI30" i="5"/>
  <c r="AO30" i="5"/>
  <c r="AQ93" i="6"/>
  <c r="AE93" i="6"/>
  <c r="AK93" i="6"/>
  <c r="AR96" i="7"/>
  <c r="AF96" i="7"/>
  <c r="AL96" i="7"/>
  <c r="O77" i="5"/>
  <c r="Q77" i="5"/>
  <c r="P77" i="5"/>
  <c r="Q6" i="6"/>
  <c r="O6" i="6"/>
  <c r="P6" i="6"/>
  <c r="AP86" i="7"/>
  <c r="AD86" i="7"/>
  <c r="AJ86" i="7"/>
  <c r="E15" i="8"/>
  <c r="AA91" i="5"/>
  <c r="N91" i="5"/>
  <c r="U91" i="5"/>
  <c r="M91" i="5"/>
  <c r="X91" i="5"/>
  <c r="L91" i="5"/>
  <c r="Q100" i="7"/>
  <c r="P100" i="7"/>
  <c r="O100" i="7"/>
  <c r="AH32" i="3"/>
  <c r="AA61" i="6"/>
  <c r="N61" i="6"/>
  <c r="M61" i="6"/>
  <c r="G28" i="8" s="1"/>
  <c r="L61" i="6"/>
  <c r="X61" i="6"/>
  <c r="U61" i="6"/>
  <c r="Q77" i="6"/>
  <c r="O77" i="6"/>
  <c r="P77" i="6"/>
  <c r="Z85" i="6"/>
  <c r="W85" i="6"/>
  <c r="S85" i="6"/>
  <c r="R85" i="6"/>
  <c r="T85" i="6"/>
  <c r="AC85" i="6"/>
  <c r="AP14" i="5"/>
  <c r="AD14" i="5"/>
  <c r="AJ14" i="5"/>
  <c r="AP15" i="5"/>
  <c r="AD15" i="5"/>
  <c r="AJ15" i="5"/>
  <c r="Y34" i="5"/>
  <c r="Q34" i="5"/>
  <c r="P34" i="5"/>
  <c r="AB34" i="5"/>
  <c r="O34" i="5"/>
  <c r="V34" i="5"/>
  <c r="AJ51" i="5"/>
  <c r="AP51" i="5"/>
  <c r="AD51" i="5"/>
  <c r="AL82" i="5"/>
  <c r="AR82" i="5"/>
  <c r="AF82" i="5"/>
  <c r="T82" i="6"/>
  <c r="S82" i="6"/>
  <c r="R82" i="6"/>
  <c r="AK38" i="6"/>
  <c r="AE38" i="6"/>
  <c r="AQ38" i="6"/>
  <c r="AP3" i="7"/>
  <c r="AJ3" i="7"/>
  <c r="AD3" i="7"/>
  <c r="T66" i="5"/>
  <c r="S66" i="5"/>
  <c r="R66" i="5"/>
  <c r="Q49" i="5"/>
  <c r="P49" i="5"/>
  <c r="AB49" i="5"/>
  <c r="O49" i="5"/>
  <c r="Y49" i="5"/>
  <c r="V49" i="5"/>
  <c r="AK78" i="6"/>
  <c r="AE78" i="6"/>
  <c r="AQ78" i="6"/>
  <c r="AC17" i="5"/>
  <c r="T17" i="5"/>
  <c r="Z63" i="5"/>
  <c r="T63" i="5"/>
  <c r="S63" i="5"/>
  <c r="R63" i="5"/>
  <c r="AC63" i="5"/>
  <c r="W63" i="5"/>
  <c r="AN29" i="6"/>
  <c r="U25" i="8" s="1"/>
  <c r="AH29" i="6"/>
  <c r="AT29" i="6"/>
  <c r="AC41" i="5"/>
  <c r="T41" i="5"/>
  <c r="T98" i="6"/>
  <c r="S98" i="6"/>
  <c r="R98" i="6"/>
  <c r="O95" i="7"/>
  <c r="P95" i="7"/>
  <c r="C15" i="8" s="1"/>
  <c r="Q95" i="7"/>
  <c r="AD31" i="7"/>
  <c r="AJ31" i="7"/>
  <c r="AP31" i="7"/>
  <c r="AK95" i="7"/>
  <c r="AQ95" i="7"/>
  <c r="AE95" i="7"/>
  <c r="AF103" i="7"/>
  <c r="AR103" i="7"/>
  <c r="AL103" i="7"/>
  <c r="R42" i="6"/>
  <c r="T42" i="6"/>
  <c r="S42" i="6"/>
  <c r="Z110" i="6"/>
  <c r="S110" i="6"/>
  <c r="Z80" i="6"/>
  <c r="W80" i="6"/>
  <c r="T80" i="6"/>
  <c r="AC80" i="6"/>
  <c r="R80" i="6"/>
  <c r="S80" i="6"/>
  <c r="AR82" i="6"/>
  <c r="AF82" i="6"/>
  <c r="AL82" i="6"/>
  <c r="T17" i="6"/>
  <c r="AC17" i="6"/>
  <c r="T68" i="6"/>
  <c r="S68" i="6"/>
  <c r="R68" i="6"/>
  <c r="AP92" i="5"/>
  <c r="AD92" i="5"/>
  <c r="AJ92" i="5"/>
  <c r="T41" i="6"/>
  <c r="AC41" i="6"/>
  <c r="R68" i="5"/>
  <c r="T68" i="5"/>
  <c r="S68" i="5"/>
  <c r="AM61" i="5"/>
  <c r="AS61" i="5"/>
  <c r="AG61" i="5"/>
  <c r="AP14" i="6"/>
  <c r="AD14" i="6"/>
  <c r="AJ14" i="6"/>
  <c r="AP60" i="5"/>
  <c r="AD60" i="5"/>
  <c r="AJ60" i="5"/>
  <c r="AL25" i="5"/>
  <c r="AF25" i="5"/>
  <c r="AR25" i="5"/>
  <c r="AR8" i="5"/>
  <c r="AF8" i="5"/>
  <c r="AL8" i="5"/>
  <c r="AK77" i="5"/>
  <c r="AE77" i="5"/>
  <c r="AQ77" i="5"/>
  <c r="T85" i="5"/>
  <c r="S85" i="5"/>
  <c r="R85" i="5"/>
  <c r="AC85" i="5"/>
  <c r="Z85" i="5"/>
  <c r="W85" i="5"/>
  <c r="Q78" i="5"/>
  <c r="P78" i="5"/>
  <c r="O78" i="5"/>
  <c r="AK65" i="5"/>
  <c r="AQ65" i="5"/>
  <c r="AE65" i="5"/>
  <c r="R86" i="5"/>
  <c r="T86" i="5"/>
  <c r="S86" i="5"/>
  <c r="AP60" i="6"/>
  <c r="AD60" i="6"/>
  <c r="AJ60" i="6"/>
  <c r="AN62" i="6"/>
  <c r="AH62" i="6"/>
  <c r="AT62" i="6"/>
  <c r="Q65" i="5"/>
  <c r="O65" i="5"/>
  <c r="P65" i="5"/>
  <c r="S110" i="7"/>
  <c r="Z110" i="7"/>
  <c r="T30" i="5"/>
  <c r="Z30" i="5"/>
  <c r="H4" i="8" s="1"/>
  <c r="A6" i="8" s="1"/>
  <c r="W30" i="5"/>
  <c r="S30" i="5"/>
  <c r="R30" i="5"/>
  <c r="AC30" i="5"/>
  <c r="AQ65" i="6"/>
  <c r="AE65" i="6"/>
  <c r="AK65" i="6"/>
  <c r="S110" i="5"/>
  <c r="Z110" i="5"/>
  <c r="Y62" i="6"/>
  <c r="Q62" i="6"/>
  <c r="AB62" i="6"/>
  <c r="P62" i="6"/>
  <c r="O62" i="6"/>
  <c r="V62" i="6"/>
  <c r="Q89" i="6"/>
  <c r="AB89" i="6"/>
  <c r="Q67" i="5"/>
  <c r="O67" i="5"/>
  <c r="P67" i="5"/>
  <c r="N106" i="5"/>
  <c r="AA106" i="5"/>
  <c r="T8" i="5"/>
  <c r="S8" i="5"/>
  <c r="R8" i="5"/>
  <c r="S108" i="5"/>
  <c r="Z108" i="5"/>
  <c r="L75" i="6"/>
  <c r="N75" i="6"/>
  <c r="M75" i="6"/>
  <c r="AM43" i="6"/>
  <c r="AS43" i="6"/>
  <c r="AG43" i="6"/>
  <c r="AR86" i="5"/>
  <c r="AF86" i="5"/>
  <c r="AL86" i="5"/>
  <c r="O107" i="6"/>
  <c r="V107" i="6"/>
  <c r="M60" i="6"/>
  <c r="L60" i="6"/>
  <c r="N60" i="6"/>
  <c r="M7" i="5"/>
  <c r="L7" i="5"/>
  <c r="N7" i="5"/>
  <c r="AQ77" i="6"/>
  <c r="AE77" i="6"/>
  <c r="AK77" i="6"/>
  <c r="AL68" i="6"/>
  <c r="AR68" i="6"/>
  <c r="AF68" i="6"/>
  <c r="K10" i="9" l="1"/>
  <c r="K2" i="9"/>
  <c r="E10" i="9"/>
  <c r="E2" i="9"/>
  <c r="Q13" i="9"/>
  <c r="Q5" i="9"/>
  <c r="AC2" i="9"/>
  <c r="W10" i="9"/>
  <c r="W2" i="9"/>
  <c r="P4" i="8"/>
  <c r="O4" i="8"/>
  <c r="N4" i="8"/>
  <c r="M4" i="8"/>
  <c r="P7" i="8" s="1"/>
  <c r="O2" i="8"/>
  <c r="Q24" i="8"/>
  <c r="O25" i="8"/>
  <c r="P25" i="8"/>
  <c r="M25" i="8"/>
  <c r="P13" i="8" s="1"/>
  <c r="Q25" i="8"/>
  <c r="N25" i="8"/>
  <c r="B15" i="8"/>
  <c r="G14" i="8"/>
  <c r="E14" i="8"/>
  <c r="D19" i="8" s="1"/>
  <c r="F14" i="8"/>
  <c r="N26" i="8"/>
  <c r="Q26" i="8"/>
  <c r="M26" i="8"/>
  <c r="O26" i="8"/>
  <c r="P26" i="8"/>
  <c r="O3" i="8"/>
  <c r="M24" i="8"/>
  <c r="C4" i="8"/>
  <c r="A8" i="8" s="1"/>
  <c r="B4" i="8"/>
  <c r="A7" i="8" s="1"/>
  <c r="D7" i="8" s="1"/>
  <c r="F4" i="8"/>
  <c r="E4" i="8"/>
  <c r="D4" i="8"/>
  <c r="U24" i="8"/>
  <c r="F16" i="8"/>
  <c r="E16" i="8"/>
  <c r="R25" i="8"/>
  <c r="M13" i="8" s="1"/>
  <c r="F15" i="8"/>
  <c r="I24" i="8"/>
  <c r="J24" i="8"/>
  <c r="H24" i="8"/>
  <c r="M2" i="8"/>
  <c r="J26" i="8"/>
  <c r="I26" i="8"/>
  <c r="H26" i="8"/>
  <c r="H3" i="8"/>
  <c r="J3" i="8"/>
  <c r="I3" i="8"/>
  <c r="I4" i="8"/>
  <c r="E2" i="8"/>
  <c r="D2" i="8"/>
  <c r="C2" i="8"/>
  <c r="B2" i="8"/>
  <c r="F2" i="8"/>
  <c r="S24" i="8"/>
  <c r="J25" i="8"/>
  <c r="I25" i="8"/>
  <c r="H25" i="8"/>
  <c r="A9" i="8" s="1"/>
  <c r="U4" i="8"/>
  <c r="R4" i="8"/>
  <c r="M7" i="8" s="1"/>
  <c r="S4" i="8"/>
  <c r="T4" i="8"/>
  <c r="T25" i="8"/>
  <c r="M3" i="8"/>
  <c r="C24" i="8"/>
  <c r="G16" i="8"/>
  <c r="R2" i="8"/>
  <c r="U2" i="8"/>
  <c r="T2" i="8"/>
  <c r="S2" i="8"/>
  <c r="G29" i="8"/>
  <c r="C25" i="8"/>
  <c r="A11" i="8" s="1"/>
  <c r="B25" i="8"/>
  <c r="A10" i="8" s="1"/>
  <c r="D10" i="8" s="1"/>
  <c r="G25" i="8"/>
  <c r="F25" i="8"/>
  <c r="E25" i="8"/>
  <c r="D25" i="8"/>
  <c r="A12" i="8" s="1"/>
  <c r="J4" i="8"/>
  <c r="S25" i="8"/>
  <c r="D24" i="8"/>
  <c r="N3" i="8"/>
  <c r="N24" i="8"/>
  <c r="T26" i="8"/>
  <c r="S26" i="8"/>
  <c r="U26" i="8"/>
  <c r="R26" i="8"/>
  <c r="E24" i="8"/>
  <c r="E26" i="8"/>
  <c r="D26" i="8"/>
  <c r="G30" i="8"/>
  <c r="F26" i="8"/>
  <c r="G26" i="8"/>
  <c r="C26" i="8"/>
  <c r="B26" i="8"/>
  <c r="T24" i="8"/>
  <c r="J2" i="8"/>
  <c r="H2" i="8"/>
  <c r="I2" i="8"/>
  <c r="B14" i="8"/>
  <c r="A18" i="8" s="1"/>
  <c r="C14" i="8"/>
  <c r="A19" i="8" s="1"/>
  <c r="B24" i="8"/>
  <c r="B16" i="8"/>
  <c r="C16" i="8"/>
  <c r="F3" i="8"/>
  <c r="E3" i="8"/>
  <c r="D3" i="8"/>
  <c r="C3" i="8"/>
  <c r="B3" i="8"/>
  <c r="T3" i="8"/>
  <c r="S3" i="8"/>
  <c r="R3" i="8"/>
  <c r="U3" i="8"/>
  <c r="D20" i="8" l="1"/>
  <c r="D21" i="8" s="1"/>
  <c r="D8" i="8"/>
  <c r="G8" i="8" s="1"/>
  <c r="J8" i="8" s="1"/>
  <c r="W15" i="9"/>
  <c r="W7" i="9"/>
  <c r="AG2" i="9"/>
  <c r="AG10" i="9" s="1"/>
  <c r="AC10" i="9"/>
  <c r="W14" i="9"/>
  <c r="W6" i="9"/>
  <c r="Q15" i="9"/>
  <c r="Q7" i="9"/>
  <c r="K15" i="9"/>
  <c r="K7" i="9"/>
  <c r="P14" i="8"/>
  <c r="U5" i="9"/>
  <c r="U13" i="9" s="1"/>
  <c r="Q11" i="9"/>
  <c r="AC5" i="9"/>
  <c r="Q3" i="9"/>
  <c r="W13" i="9"/>
  <c r="W5" i="9"/>
  <c r="K14" i="9"/>
  <c r="K6" i="9"/>
  <c r="E14" i="9"/>
  <c r="E6" i="9"/>
  <c r="M14" i="8"/>
  <c r="M15" i="8" s="1"/>
  <c r="M16" i="8" s="1"/>
  <c r="I2" i="9"/>
  <c r="I10" i="9" s="1"/>
  <c r="D11" i="8"/>
  <c r="G11" i="8" s="1"/>
  <c r="J11" i="8" s="1"/>
  <c r="M8" i="8"/>
  <c r="M9" i="8" s="1"/>
  <c r="O2" i="9"/>
  <c r="O10" i="9" s="1"/>
  <c r="K11" i="9"/>
  <c r="K3" i="9"/>
  <c r="E11" i="9"/>
  <c r="E3" i="9"/>
  <c r="Q14" i="9"/>
  <c r="Q6" i="9"/>
  <c r="AC3" i="9"/>
  <c r="W11" i="9"/>
  <c r="W3" i="9"/>
  <c r="AA2" i="9"/>
  <c r="AA10" i="9" s="1"/>
  <c r="W12" i="9"/>
  <c r="W4" i="9"/>
  <c r="K13" i="9"/>
  <c r="K5" i="9"/>
  <c r="E13" i="9"/>
  <c r="E5" i="9"/>
  <c r="Q10" i="9"/>
  <c r="AC4" i="9"/>
  <c r="Q2" i="9"/>
  <c r="P8" i="8"/>
  <c r="K21" i="9" l="1"/>
  <c r="Q21" i="9"/>
  <c r="AG4" i="9"/>
  <c r="AG12" i="9" s="1"/>
  <c r="AC12" i="9"/>
  <c r="AG3" i="9"/>
  <c r="AG11" i="9" s="1"/>
  <c r="AC11" i="9"/>
  <c r="O7" i="9"/>
  <c r="O15" i="9" s="1"/>
  <c r="U7" i="9"/>
  <c r="U21" i="9" s="1"/>
  <c r="U2" i="9"/>
  <c r="U10" i="9" s="1"/>
  <c r="U6" i="9"/>
  <c r="U14" i="9" s="1"/>
  <c r="P15" i="8"/>
  <c r="P16" i="8" s="1"/>
  <c r="O5" i="9"/>
  <c r="O13" i="9" s="1"/>
  <c r="O3" i="9"/>
  <c r="O11" i="9" s="1"/>
  <c r="U3" i="9"/>
  <c r="U11" i="9" s="1"/>
  <c r="AA6" i="9"/>
  <c r="AA14" i="9" s="1"/>
  <c r="I5" i="9"/>
  <c r="I13" i="9" s="1"/>
  <c r="I3" i="9"/>
  <c r="I11" i="9" s="1"/>
  <c r="P9" i="8"/>
  <c r="P10" i="8" s="1"/>
  <c r="M10" i="8"/>
  <c r="AC13" i="9"/>
  <c r="AG5" i="9"/>
  <c r="AG13" i="9" s="1"/>
  <c r="W18" i="9"/>
  <c r="K19" i="9"/>
  <c r="O19" i="9" s="1"/>
  <c r="E19" i="9"/>
  <c r="AC18" i="9"/>
  <c r="AG18" i="9" s="1"/>
  <c r="Q16" i="9"/>
  <c r="I6" i="9"/>
  <c r="I14" i="9" s="1"/>
  <c r="O6" i="9"/>
  <c r="O14" i="9" s="1"/>
  <c r="AA7" i="9"/>
  <c r="AA15" i="9" s="1"/>
  <c r="AA4" i="9"/>
  <c r="AA12" i="9" s="1"/>
  <c r="AA5" i="9"/>
  <c r="AA13" i="9" s="1"/>
  <c r="K12" i="9"/>
  <c r="K4" i="9"/>
  <c r="E12" i="9"/>
  <c r="E4" i="9"/>
  <c r="AA3" i="9"/>
  <c r="AA11" i="9" s="1"/>
  <c r="E15" i="9"/>
  <c r="E7" i="9"/>
  <c r="Q12" i="9"/>
  <c r="AC6" i="9"/>
  <c r="Q4" i="9"/>
  <c r="D12" i="8"/>
  <c r="W20" i="9"/>
  <c r="AA20" i="9" s="1"/>
  <c r="W21" i="9"/>
  <c r="O21" i="9" l="1"/>
  <c r="E21" i="9"/>
  <c r="Q17" i="9"/>
  <c r="U17" i="9" s="1"/>
  <c r="W19" i="9"/>
  <c r="AA19" i="9" s="1"/>
  <c r="Q18" i="9"/>
  <c r="K20" i="9"/>
  <c r="O20" i="9" s="1"/>
  <c r="E20" i="9"/>
  <c r="I20" i="9" s="1"/>
  <c r="U15" i="9"/>
  <c r="K17" i="9"/>
  <c r="O17" i="9" s="1"/>
  <c r="K18" i="9"/>
  <c r="E17" i="9"/>
  <c r="I17" i="9" s="1"/>
  <c r="Q20" i="9"/>
  <c r="U20" i="9" s="1"/>
  <c r="E18" i="9"/>
  <c r="AC17" i="9"/>
  <c r="AG17" i="9" s="1"/>
  <c r="W17" i="9"/>
  <c r="AA17" i="9" s="1"/>
  <c r="AG6" i="9"/>
  <c r="AG14" i="9" s="1"/>
  <c r="AC14" i="9"/>
  <c r="K16" i="9"/>
  <c r="O16" i="9" s="1"/>
  <c r="E16" i="9"/>
  <c r="I16" i="9" s="1"/>
  <c r="Q19" i="9"/>
  <c r="U19" i="9" s="1"/>
  <c r="AC16" i="9"/>
  <c r="AG16" i="9" s="1"/>
  <c r="W16" i="9"/>
  <c r="AA16" i="9" s="1"/>
  <c r="I7" i="9"/>
  <c r="I15" i="9" s="1"/>
  <c r="I4" i="9"/>
  <c r="I12" i="9" s="1"/>
  <c r="G12" i="8"/>
  <c r="J14" i="8"/>
  <c r="I19" i="9"/>
  <c r="U4" i="9"/>
  <c r="U12" i="9" s="1"/>
  <c r="AA18" i="9"/>
  <c r="AA21" i="9"/>
  <c r="O4" i="9"/>
  <c r="O12" i="9" s="1"/>
  <c r="U16" i="9"/>
  <c r="W22" i="9" l="1" a="1"/>
  <c r="W22" i="9" s="1"/>
  <c r="I18" i="9"/>
  <c r="E22" i="9" s="1" a="1"/>
  <c r="E22" i="9" s="1"/>
  <c r="I21" i="9"/>
  <c r="AA22" i="9"/>
  <c r="O18" i="9"/>
  <c r="K22" i="9" s="1" a="1"/>
  <c r="K22" i="9" s="1"/>
  <c r="J16" i="8"/>
  <c r="J15" i="8"/>
  <c r="U18" i="9"/>
  <c r="U22" i="9" s="1"/>
  <c r="J12" i="8" l="1"/>
  <c r="AC7" i="9"/>
  <c r="P17" i="8"/>
  <c r="Q26" i="9"/>
  <c r="Q5" i="3" s="1"/>
  <c r="Q27" i="9"/>
  <c r="Q6" i="3" s="1"/>
  <c r="Q28" i="9"/>
  <c r="Q7" i="3" s="1"/>
  <c r="Q23" i="9"/>
  <c r="Q2" i="3" s="1"/>
  <c r="Q24" i="9"/>
  <c r="Q3" i="3" s="1"/>
  <c r="Q25" i="9"/>
  <c r="Q4" i="3" s="1"/>
  <c r="I22" i="9"/>
  <c r="W27" i="9"/>
  <c r="W6" i="3" s="1"/>
  <c r="W28" i="9"/>
  <c r="W7" i="3" s="1"/>
  <c r="W23" i="9"/>
  <c r="W2" i="3" s="1"/>
  <c r="W24" i="9"/>
  <c r="W3" i="3" s="1"/>
  <c r="W25" i="9"/>
  <c r="W4" i="3" s="1"/>
  <c r="W26" i="9"/>
  <c r="W5" i="3" s="1"/>
  <c r="Q22" i="9" a="1"/>
  <c r="Q22" i="9" s="1"/>
  <c r="O22" i="9"/>
  <c r="AA28" i="9" l="1"/>
  <c r="AA7" i="3" s="1"/>
  <c r="AA25" i="9"/>
  <c r="AA4" i="3" s="1"/>
  <c r="U23" i="9"/>
  <c r="U2" i="3" s="1"/>
  <c r="AA23" i="9"/>
  <c r="AA2" i="3" s="1"/>
  <c r="U28" i="9"/>
  <c r="U7" i="3" s="1"/>
  <c r="AA24" i="9"/>
  <c r="AA3" i="3" s="1"/>
  <c r="K25" i="9"/>
  <c r="K4" i="3" s="1"/>
  <c r="K26" i="9"/>
  <c r="K5" i="3" s="1"/>
  <c r="K27" i="9"/>
  <c r="K6" i="3" s="1"/>
  <c r="K28" i="9"/>
  <c r="K7" i="3" s="1"/>
  <c r="K23" i="9"/>
  <c r="K2" i="3" s="1"/>
  <c r="K24" i="9"/>
  <c r="K3" i="3" s="1"/>
  <c r="U27" i="9"/>
  <c r="U6" i="3" s="1"/>
  <c r="AA27" i="9"/>
  <c r="AA6" i="3" s="1"/>
  <c r="U26" i="9"/>
  <c r="U5" i="3" s="1"/>
  <c r="U24" i="9"/>
  <c r="U3" i="3" s="1"/>
  <c r="AC19" i="9"/>
  <c r="AG19" i="9" s="1"/>
  <c r="AC20" i="9"/>
  <c r="AG20" i="9" s="1"/>
  <c r="AC21" i="9"/>
  <c r="AG21" i="9" s="1"/>
  <c r="E24" i="9"/>
  <c r="E3" i="3" s="1"/>
  <c r="E25" i="9"/>
  <c r="E4" i="3" s="1"/>
  <c r="E26" i="9"/>
  <c r="E5" i="3" s="1"/>
  <c r="E27" i="9"/>
  <c r="E6" i="3" s="1"/>
  <c r="E28" i="9"/>
  <c r="E7" i="3" s="1"/>
  <c r="E23" i="9"/>
  <c r="E2" i="3" s="1"/>
  <c r="AA26" i="9"/>
  <c r="AA5" i="3" s="1"/>
  <c r="U25" i="9"/>
  <c r="U4" i="3" s="1"/>
  <c r="AG7" i="9"/>
  <c r="AG15" i="9" s="1"/>
  <c r="AC15" i="9"/>
  <c r="I24" i="9" l="1"/>
  <c r="I3" i="3" s="1"/>
  <c r="O27" i="9"/>
  <c r="O6" i="3" s="1"/>
  <c r="O25" i="9"/>
  <c r="O4" i="3" s="1"/>
  <c r="I25" i="9"/>
  <c r="I4" i="3" s="1"/>
  <c r="O23" i="9"/>
  <c r="O2" i="3" s="1"/>
  <c r="I23" i="9"/>
  <c r="I2" i="3" s="1"/>
  <c r="O26" i="9"/>
  <c r="O5" i="3" s="1"/>
  <c r="I27" i="9"/>
  <c r="I6" i="3" s="1"/>
  <c r="I28" i="9"/>
  <c r="I7" i="3" s="1"/>
  <c r="O24" i="9"/>
  <c r="O3" i="3" s="1"/>
  <c r="I26" i="9"/>
  <c r="I5" i="3" s="1"/>
  <c r="AG22" i="9"/>
  <c r="AC22" i="9" a="1"/>
  <c r="AC22" i="9" s="1"/>
  <c r="AA1" i="3"/>
  <c r="O28" i="9"/>
  <c r="O7" i="3" s="1"/>
  <c r="U1" i="3"/>
  <c r="O1" i="3" l="1"/>
  <c r="AC28" i="9"/>
  <c r="AC7" i="3" s="1"/>
  <c r="AC23" i="9"/>
  <c r="AC2" i="3" s="1"/>
  <c r="AC24" i="9"/>
  <c r="AC3" i="3" s="1"/>
  <c r="AC25" i="9"/>
  <c r="AC4" i="3" s="1"/>
  <c r="AC26" i="9"/>
  <c r="AC5" i="3" s="1"/>
  <c r="AC27" i="9"/>
  <c r="AC6" i="3" s="1"/>
  <c r="I1" i="3"/>
  <c r="AG24" i="9" l="1"/>
  <c r="AG3" i="3" s="1"/>
  <c r="AG27" i="9"/>
  <c r="AG6" i="3" s="1"/>
  <c r="AG26" i="9"/>
  <c r="AG5" i="3" s="1"/>
  <c r="AG25" i="9"/>
  <c r="AG4" i="3" s="1"/>
  <c r="AG23" i="9"/>
  <c r="AG2" i="3" s="1"/>
  <c r="AG28" i="9"/>
  <c r="AG7" i="3" s="1"/>
  <c r="AG1" i="3" l="1"/>
</calcChain>
</file>

<file path=xl/sharedStrings.xml><?xml version="1.0" encoding="utf-8"?>
<sst xmlns="http://schemas.openxmlformats.org/spreadsheetml/2006/main" count="2031" uniqueCount="390">
  <si>
    <t>あら、奇遇ね（红过牌）</t>
  </si>
  <si>
    <t>ほら、一緒に持と♪（蓝再动）</t>
  </si>
  <si>
    <t>仕事のつもりで臨みなさい（学生会）</t>
  </si>
  <si>
    <t>ほっとけないクラスメイト（朝助）</t>
  </si>
  <si>
    <t>実食！例のSSD（蓝13）</t>
  </si>
  <si>
    <t>道具属性</t>
  </si>
  <si>
    <t>いつか、きっと花開く（sr黄睡）</t>
  </si>
  <si>
    <t>破数</t>
  </si>
  <si>
    <t>营业</t>
  </si>
  <si>
    <t>第一属性</t>
  </si>
  <si>
    <t>第二属性</t>
  </si>
  <si>
    <t>第三属性</t>
  </si>
  <si>
    <t>抓a卡</t>
  </si>
  <si>
    <t>训练</t>
  </si>
  <si>
    <t>强化</t>
  </si>
  <si>
    <t>基础值</t>
  </si>
  <si>
    <t>事件</t>
  </si>
  <si>
    <t>百分比</t>
  </si>
  <si>
    <t>抓m卡</t>
  </si>
  <si>
    <t>外出</t>
  </si>
  <si>
    <t>相谈</t>
  </si>
  <si>
    <t>休息</t>
  </si>
  <si>
    <t>通用</t>
  </si>
  <si>
    <t>また、あんなに無理をして（红毛巾）</t>
  </si>
  <si>
    <t>まじか。（光舞台）</t>
  </si>
  <si>
    <t>私の目に狂いはない（黄再动）</t>
  </si>
  <si>
    <t>マイペース、マイライフ（红13）</t>
  </si>
  <si>
    <t>嬉し恥ずかし夢心地（姐姐百科）</t>
  </si>
  <si>
    <t>思惑とガクガク（黄13）</t>
  </si>
  <si>
    <t>通常训练</t>
  </si>
  <si>
    <t>可愛いと可愛いで可愛い！（三可爱）</t>
  </si>
  <si>
    <t>わたしたち、やればできる（蓝厨房）</t>
  </si>
  <si>
    <t>まるで王子様みたいな（王子）</t>
  </si>
  <si>
    <t>愛無き暗記は難しい（永年）</t>
  </si>
  <si>
    <t>ふわふわでワクワク（蓝饮料）</t>
  </si>
  <si>
    <t>ほっぺた、ぷに（黄永年）</t>
  </si>
  <si>
    <t>sp训练</t>
  </si>
  <si>
    <t>SP</t>
  </si>
  <si>
    <t>m强化</t>
  </si>
  <si>
    <t>试验终了</t>
  </si>
  <si>
    <t>理性</t>
  </si>
  <si>
    <t>次の桜の季節には。（花荫）</t>
  </si>
  <si>
    <t>おいしい顔、いただき～！（蓝拍照）</t>
  </si>
  <si>
    <t>お疲れ様、千奈ちゃん。（辛苦了千奈）</t>
  </si>
  <si>
    <t>のらりくらりしっかり</t>
  </si>
  <si>
    <t>魅惑の大腿四頭筋</t>
  </si>
  <si>
    <t>てとりあしとり</t>
  </si>
  <si>
    <t>支给</t>
  </si>
  <si>
    <t>こいつらめんどくさー（红吵架）</t>
  </si>
  <si>
    <t>ぐぬぬぬぬ…………！（蓝50）</t>
  </si>
  <si>
    <t>お姉ちゃんに任せなさい！（黄发卡）</t>
  </si>
  <si>
    <t>今はあえて、背を向けて（刺猬）</t>
  </si>
  <si>
    <t>パシャっとキメポ（sr蓝睡）</t>
  </si>
  <si>
    <t>体当たりのラブコール（过肩摔）</t>
  </si>
  <si>
    <t>感性</t>
  </si>
  <si>
    <t>何やってるんだろう、（红再动）</t>
  </si>
  <si>
    <t>晴れたね（蓝睡）</t>
  </si>
  <si>
    <t>あなたにも作ってあげる！（黄睡）</t>
  </si>
  <si>
    <t>イヤホンはんぶんこ</t>
  </si>
  <si>
    <t>どりゃぎゃ（矿泉水）</t>
  </si>
  <si>
    <t>好调抓卡</t>
  </si>
  <si>
    <t>かちこちストレッチ（菲柱体前屈）</t>
  </si>
  <si>
    <t>好印象抓卡</t>
  </si>
  <si>
    <t>まだ上がりませんように！（撑伞）</t>
  </si>
  <si>
    <t>もうっ！　冷たいよ！（蓝喷水）</t>
  </si>
  <si>
    <t>第2回教室パーティー！（一年一班）</t>
  </si>
  <si>
    <t>海、楽しまなきゃ！（sr红睡）</t>
  </si>
  <si>
    <t>干劲抓卡</t>
  </si>
  <si>
    <t>ふわふわなお面？（小熊）</t>
  </si>
  <si>
    <t>やさしさ、あったかい（白毛哭哭）</t>
  </si>
  <si>
    <t>一時休戦です（一时休战）</t>
  </si>
  <si>
    <t>夏を満喫するわよ！（水枪）</t>
  </si>
  <si>
    <t>「ア」じゃなくて「エ」！（黄补课）</t>
  </si>
  <si>
    <t>第五種接近遭遇（电风扇）</t>
  </si>
  <si>
    <t>集中抓卡</t>
  </si>
  <si>
    <t>キュっと締めて（sr蓝购物）</t>
  </si>
  <si>
    <t>りっぱなすすき！（麦穗）</t>
  </si>
  <si>
    <t>相谈饮料</t>
  </si>
  <si>
    <t>夏を楽しみましょう！（红购物）</t>
  </si>
  <si>
    <t>あっちも行きたいですわ！（大饮料）</t>
  </si>
  <si>
    <t>花火、やりませんか……？（花火）</t>
  </si>
  <si>
    <t>ブレイクタイムは珈琲で（sr红购物）</t>
  </si>
  <si>
    <t>千奈の恩返し（恩返）</t>
  </si>
  <si>
    <t>SSDのひみつ（悄悄话）</t>
  </si>
  <si>
    <t>删卡</t>
  </si>
  <si>
    <t>1人たりとも欠ける事なく（一年二班）</t>
  </si>
  <si>
    <t>似合うんじゃない？（气球）</t>
  </si>
  <si>
    <t>ゆっくりと過ごしましょう（黄购物）</t>
  </si>
  <si>
    <t>興味深い飲み物（姐汁）</t>
  </si>
  <si>
    <t>トンボをつかまえて（小秋见）</t>
  </si>
  <si>
    <t>サンマ、パタパタ（千奈做饭）</t>
  </si>
  <si>
    <t>二人ならあっという間だね（红50）</t>
  </si>
  <si>
    <t>そろそろ焼けたかな？（红薯）</t>
  </si>
  <si>
    <t>新たな挑戦の成功ですわ！（黄书签）</t>
  </si>
  <si>
    <t>基礎＞応用（红老师）</t>
  </si>
  <si>
    <t>バズっちゃお！（椰树椰汁）</t>
  </si>
  <si>
    <t>まだまだのばしてー（黄老师）</t>
  </si>
  <si>
    <t>抓卡</t>
  </si>
  <si>
    <t>すっかり秋色ですわね！（秋色）</t>
  </si>
  <si>
    <t>プロデュースって大変ね（大变卡）</t>
  </si>
  <si>
    <t>会長、準備は万端です（准备万端）</t>
  </si>
  <si>
    <t>まごころを込めて（巧可琴音）</t>
  </si>
  <si>
    <t>ディカプルエックスエル！（圣诞斯大广）</t>
  </si>
  <si>
    <t>SSCの爆誕（毒蘑菇旧鞋跟）</t>
  </si>
  <si>
    <t>抓好调卡</t>
  </si>
  <si>
    <t>非凡</t>
  </si>
  <si>
    <t>もう一度、最初から！（fes1）</t>
  </si>
  <si>
    <t>キラキラして綺麗～っ！（光夜）</t>
  </si>
  <si>
    <t>ぜったい追いついてやる！（红叶）</t>
  </si>
  <si>
    <t>屈辱の2位（马给马给）</t>
  </si>
  <si>
    <t>きゅる～んωポーズッ☆（可爱pose）</t>
  </si>
  <si>
    <t>虫愛づる王子様（虫爱）</t>
  </si>
  <si>
    <t>はいっ、みんなも一緒に♪（fes3）</t>
  </si>
  <si>
    <t>待ちなさーい！（蓝旗）</t>
  </si>
  <si>
    <t>さみだれ（公交车站）</t>
  </si>
  <si>
    <t>2名様、ご案内～♪（毛球偷吃）</t>
  </si>
  <si>
    <t>元气抓卡</t>
  </si>
  <si>
    <t>カロリー/2でハッピー×2（包子）</t>
  </si>
  <si>
    <t>奥義、三重とび！（花式跳绳）</t>
  </si>
  <si>
    <t>全力抓卡</t>
  </si>
  <si>
    <t>絶対にお渡ししますわっ！（巧克力）</t>
  </si>
  <si>
    <t>これが私達の、3年間（蓝书签）</t>
  </si>
  <si>
    <t>あったかいね（围巾）</t>
  </si>
  <si>
    <t>目指すはテッペン（蓝老师）</t>
  </si>
  <si>
    <t>主菓子、甘い、薄茶、渋み（茶道）</t>
  </si>
  <si>
    <t>さあ、もう一戦！（黑岩射手）</t>
  </si>
  <si>
    <t>あなたたちのことが好き（秋千）</t>
  </si>
  <si>
    <t>バレンタイン♡会議中ーっ！（情人节会议）</t>
  </si>
  <si>
    <t>ピューとシューの二重奏（二重奏）</t>
  </si>
  <si>
    <t>ばたんきゅー（噗叽啪——）</t>
  </si>
  <si>
    <t>a强化</t>
  </si>
  <si>
    <t>抓好印象卡</t>
  </si>
  <si>
    <t>删m卡</t>
  </si>
  <si>
    <t>相変わらず不器用ね（幼驯染）</t>
  </si>
  <si>
    <t>ひとりで立てますか？（溜冰）</t>
  </si>
  <si>
    <t>新生活のはじまりだね（米袋）</t>
  </si>
  <si>
    <t>ガールズ♡トーク（女子会）</t>
  </si>
  <si>
    <t>抓温存卡</t>
  </si>
  <si>
    <t>みんなの意見を聞かせて♪（发饰）</t>
  </si>
  <si>
    <t>ここから始まるんだね！（相册）</t>
  </si>
  <si>
    <t>相手にとって不足なしよ！（对战）</t>
  </si>
  <si>
    <t>あん・どぅ・とろわっ！（伸缩带）</t>
  </si>
  <si>
    <t>强气抓卡</t>
  </si>
  <si>
    <t>利用し合うのが友達！（黄毛摸鱼）</t>
  </si>
  <si>
    <t>ひとりごとです（汤达人）</t>
  </si>
  <si>
    <t>变卡</t>
  </si>
  <si>
    <t>删a卡</t>
  </si>
  <si>
    <t>よくやったな、倉本。（台灯）</t>
  </si>
  <si>
    <t>わたしと美鈴、超仲良し（运动会）</t>
  </si>
  <si>
    <t>饮料</t>
  </si>
  <si>
    <t>すっかり仲良しって感じ♪（金萝卜）</t>
  </si>
  <si>
    <t>迷子のおしらせです（mygo）</t>
  </si>
  <si>
    <t>推し活なひととき、だね！（猫头鹰）</t>
  </si>
  <si>
    <t>指导</t>
  </si>
  <si>
    <t>黄</t>
  </si>
  <si>
    <t>最低sp数</t>
  </si>
  <si>
    <t>3 / 3</t>
  </si>
  <si>
    <t>总属性</t>
  </si>
  <si>
    <t>3 / 2 / 1</t>
  </si>
  <si>
    <t>2 / 2 / 2</t>
  </si>
  <si>
    <t>2 / 4</t>
  </si>
  <si>
    <t>路线模拟</t>
  </si>
  <si>
    <t>蓝</t>
  </si>
  <si>
    <t>请输入初始基础值及百分比</t>
  </si>
  <si>
    <t>流派</t>
  </si>
  <si>
    <t>计算</t>
  </si>
  <si>
    <t>审查类型</t>
  </si>
  <si>
    <t>均衡</t>
  </si>
  <si>
    <t>（仅主属）</t>
  </si>
  <si>
    <t>请输入支援卡部分词条总加成</t>
  </si>
  <si>
    <t>塞卡等效属性(20/1)</t>
  </si>
  <si>
    <t>训练（sp与普通之和）</t>
  </si>
  <si>
    <t>挑战道具加成比例</t>
  </si>
  <si>
    <t>NIA</t>
  </si>
  <si>
    <t>NIA master</t>
  </si>
  <si>
    <t>1周SP</t>
  </si>
  <si>
    <t>路线选择</t>
  </si>
  <si>
    <t>NIA通常</t>
  </si>
  <si>
    <t>NIA强化</t>
  </si>
  <si>
    <t>NIA购物</t>
  </si>
  <si>
    <t>自定义</t>
  </si>
  <si>
    <t>mas支给</t>
  </si>
  <si>
    <t>mas外出</t>
  </si>
  <si>
    <t>mas购物</t>
  </si>
  <si>
    <t>mas买卡</t>
  </si>
  <si>
    <t>mas删卡</t>
  </si>
  <si>
    <t>mas外出强化</t>
  </si>
  <si>
    <t>2周营业</t>
  </si>
  <si>
    <t>一属性值</t>
  </si>
  <si>
    <t>4周SP</t>
  </si>
  <si>
    <t>二属性值</t>
  </si>
  <si>
    <t>5周营业</t>
  </si>
  <si>
    <t>三属性值</t>
  </si>
  <si>
    <t>7周营业</t>
  </si>
  <si>
    <t>一属训练</t>
  </si>
  <si>
    <t>试镜属性根据所选的第一、第二属性和审查类型计算→</t>
  </si>
  <si>
    <t>一镜基础属性</t>
  </si>
  <si>
    <t>一属sp</t>
  </si>
  <si>
    <t>打分</t>
  </si>
  <si>
    <t>一属通常</t>
  </si>
  <si>
    <t>结算属性</t>
  </si>
  <si>
    <t>二属训练</t>
  </si>
  <si>
    <t>11周SP</t>
  </si>
  <si>
    <t>二属sp</t>
  </si>
  <si>
    <t>12周营业</t>
  </si>
  <si>
    <t>二属通常</t>
  </si>
  <si>
    <t>14周SP</t>
  </si>
  <si>
    <t>三属训练</t>
  </si>
  <si>
    <t>15周营业</t>
  </si>
  <si>
    <t>三属sp</t>
  </si>
  <si>
    <t>二镜基础属性</t>
  </si>
  <si>
    <t>三属通常</t>
  </si>
  <si>
    <t>19周SP</t>
  </si>
  <si>
    <t>20周营业</t>
  </si>
  <si>
    <t>22周SP</t>
  </si>
  <si>
    <t>23周营业</t>
  </si>
  <si>
    <t>24周SP</t>
  </si>
  <si>
    <t>三镜基础属性</t>
  </si>
  <si>
    <t>总和</t>
  </si>
  <si>
    <t>最终属性</t>
  </si>
  <si>
    <t>其余支援卡词条加成</t>
  </si>
  <si>
    <t>包括抓任意卡</t>
  </si>
  <si>
    <t>包括任意强化</t>
  </si>
  <si>
    <t>包括删任意卡</t>
  </si>
  <si>
    <t>评级计算器</t>
  </si>
  <si>
    <t>根据预设改变路线选择直接将预设下所有数据复制粘贴至路线选择下即可</t>
  </si>
  <si>
    <t>三镜前属性</t>
  </si>
  <si>
    <t>三镜前粉丝</t>
  </si>
  <si>
    <t>基础属性</t>
  </si>
  <si>
    <t>试镜结束</t>
  </si>
  <si>
    <t>结算粉丝</t>
  </si>
  <si>
    <t>属性事件</t>
  </si>
  <si>
    <t>暂只支持10w粉丝以上计算</t>
  </si>
  <si>
    <t>最终评级</t>
  </si>
  <si>
    <t>概率出现小额偏差</t>
  </si>
  <si>
    <t>SSR</t>
  </si>
  <si>
    <t>SR</t>
  </si>
  <si>
    <t>次限</t>
  </si>
  <si>
    <t>属性值</t>
  </si>
  <si>
    <t>sp</t>
  </si>
  <si>
    <t>属性</t>
  </si>
  <si>
    <t>污染</t>
  </si>
  <si>
    <t>带出道具或S卡</t>
  </si>
  <si>
    <t>满破属性</t>
  </si>
  <si>
    <t>红感性</t>
  </si>
  <si>
    <t>红理性</t>
  </si>
  <si>
    <t>红非凡</t>
  </si>
  <si>
    <t>蓝感性</t>
  </si>
  <si>
    <t>蓝理性</t>
  </si>
  <si>
    <t>蓝非凡</t>
  </si>
  <si>
    <t>黄感性</t>
  </si>
  <si>
    <t>黄理性</t>
  </si>
  <si>
    <t>黄非凡</t>
  </si>
  <si>
    <t>红感性sp</t>
  </si>
  <si>
    <t>蓝感性sp</t>
  </si>
  <si>
    <t>黄感性sp</t>
  </si>
  <si>
    <t>红理性sp</t>
  </si>
  <si>
    <t>蓝理性sp</t>
  </si>
  <si>
    <t>黄理性sp</t>
  </si>
  <si>
    <t>红非凡sp</t>
  </si>
  <si>
    <t>蓝非凡sp</t>
  </si>
  <si>
    <t>黄非凡sp</t>
  </si>
  <si>
    <t>红借卡感性非sp</t>
  </si>
  <si>
    <t>蓝借卡感性非sp</t>
  </si>
  <si>
    <t>黄借卡感性非sp</t>
  </si>
  <si>
    <t>红借卡感性sp</t>
  </si>
  <si>
    <t>蓝借卡感性sp</t>
  </si>
  <si>
    <t>黄借卡感性sp</t>
  </si>
  <si>
    <t>红借卡理性非sp</t>
  </si>
  <si>
    <t>蓝借卡理性非sp</t>
  </si>
  <si>
    <t>黄借卡理性非sp</t>
  </si>
  <si>
    <t>红借卡理性sp</t>
  </si>
  <si>
    <t>蓝借卡理性sp</t>
  </si>
  <si>
    <t>黄借卡理性sp</t>
  </si>
  <si>
    <t>红借卡非凡非sp</t>
  </si>
  <si>
    <t>蓝借卡非凡非sp</t>
  </si>
  <si>
    <t>黄借卡非凡非sp</t>
  </si>
  <si>
    <t>红借卡非凡sp</t>
  </si>
  <si>
    <t>蓝借卡非凡sp</t>
  </si>
  <si>
    <t>黄借卡非凡sp</t>
  </si>
  <si>
    <t>水枪</t>
  </si>
  <si>
    <t>相册</t>
  </si>
  <si>
    <t>气球</t>
  </si>
  <si>
    <t>红50</t>
  </si>
  <si>
    <t>红叶</t>
  </si>
  <si>
    <t>对战</t>
  </si>
  <si>
    <t>fes1</t>
  </si>
  <si>
    <t>情人节会议</t>
  </si>
  <si>
    <t>撑伞</t>
  </si>
  <si>
    <t>光夜</t>
  </si>
  <si>
    <t>红毛巾</t>
  </si>
  <si>
    <t>花火</t>
  </si>
  <si>
    <t>黄发卡</t>
  </si>
  <si>
    <t>巧克力</t>
  </si>
  <si>
    <t>红吵架</t>
  </si>
  <si>
    <t>蓝厨房</t>
  </si>
  <si>
    <t>溜冰</t>
  </si>
  <si>
    <t>王子</t>
  </si>
  <si>
    <t>公交车站</t>
  </si>
  <si>
    <t>红购物</t>
  </si>
  <si>
    <t>蓝喷水</t>
  </si>
  <si>
    <t>蓝拍照</t>
  </si>
  <si>
    <t>蓝睡</t>
  </si>
  <si>
    <t>毒蘑菇旧鞋跟</t>
  </si>
  <si>
    <t>黄再动</t>
  </si>
  <si>
    <t>三可爱</t>
  </si>
  <si>
    <t>一时休战</t>
  </si>
  <si>
    <t>黑岩射手</t>
  </si>
  <si>
    <t>蓝旗</t>
  </si>
  <si>
    <t>黄购物</t>
  </si>
  <si>
    <t>红过牌</t>
  </si>
  <si>
    <t>巧可琴音</t>
  </si>
  <si>
    <t>红薯</t>
  </si>
  <si>
    <t>小秋见</t>
  </si>
  <si>
    <t>虫爱</t>
  </si>
  <si>
    <t>姐汁</t>
  </si>
  <si>
    <t>二重奏</t>
  </si>
  <si>
    <t>恩返</t>
  </si>
  <si>
    <t>花荫</t>
  </si>
  <si>
    <t>过肩摔</t>
  </si>
  <si>
    <t>蓝再动</t>
  </si>
  <si>
    <t>辛苦了千奈</t>
  </si>
  <si>
    <t>黄补课</t>
  </si>
  <si>
    <t>红再动</t>
  </si>
  <si>
    <t>圣诞斯大广</t>
  </si>
  <si>
    <t>千奈做饭</t>
  </si>
  <si>
    <t>白毛哭哭</t>
  </si>
  <si>
    <t>蓝50</t>
  </si>
  <si>
    <t>光舞台</t>
  </si>
  <si>
    <t>围巾</t>
  </si>
  <si>
    <t>一年一班</t>
  </si>
  <si>
    <t>椰树椰汁</t>
  </si>
  <si>
    <t>学生会</t>
  </si>
  <si>
    <t>黄睡</t>
  </si>
  <si>
    <t>大变卡</t>
  </si>
  <si>
    <t>一年二班</t>
  </si>
  <si>
    <t>sr蓝睡</t>
  </si>
  <si>
    <t>运动会</t>
  </si>
  <si>
    <t>台灯</t>
  </si>
  <si>
    <t>发饰</t>
  </si>
  <si>
    <t>金萝卜</t>
  </si>
  <si>
    <t>mygo</t>
  </si>
  <si>
    <t>借卡1</t>
  </si>
  <si>
    <t>红</t>
  </si>
  <si>
    <t>SP借1</t>
  </si>
  <si>
    <t>非SP借1</t>
  </si>
  <si>
    <t>SP借2</t>
  </si>
  <si>
    <t>非SP借2</t>
  </si>
  <si>
    <t>借卡</t>
  </si>
  <si>
    <t>借</t>
  </si>
  <si>
    <t>借卡2</t>
  </si>
  <si>
    <t>差值</t>
  </si>
  <si>
    <t>同卡替换</t>
  </si>
  <si>
    <t>最高值卡</t>
  </si>
  <si>
    <t>最终借卡</t>
  </si>
  <si>
    <t>最终卡组</t>
  </si>
  <si>
    <t>2025.6.9.</t>
  </si>
  <si>
    <t>6月9新卡实装</t>
  </si>
  <si>
    <t>2025.6.7.</t>
  </si>
  <si>
    <t>路线模拟及评分计算器追加</t>
  </si>
  <si>
    <t>2025.6.3.</t>
  </si>
  <si>
    <t>第三属性代码修复</t>
  </si>
  <si>
    <t>2025.5.31.</t>
  </si>
  <si>
    <t>卡组计算代码修改</t>
  </si>
  <si>
    <t>再修改</t>
  </si>
  <si>
    <t>2025.5.30.</t>
  </si>
  <si>
    <t>新扭蛋池卡实装</t>
  </si>
  <si>
    <t>2025.5.29.</t>
  </si>
  <si>
    <t>5月29新卡实装</t>
  </si>
  <si>
    <t>2025.5.27.</t>
  </si>
  <si>
    <t>新增2/4配卡方案</t>
  </si>
  <si>
    <t>2025.5.22.</t>
  </si>
  <si>
    <t>黄蓝非凡错位修复</t>
  </si>
  <si>
    <t>理性黄2sp报错修复</t>
  </si>
  <si>
    <t>2025.5.21.</t>
  </si>
  <si>
    <t>卡组自动构成实装至mas版本</t>
  </si>
  <si>
    <t>2025.5.20.</t>
  </si>
  <si>
    <t>新增塞卡等效属性选项</t>
  </si>
  <si>
    <t>2025.5.19.</t>
  </si>
  <si>
    <t>mas路线实装，抓卡类道具计算优化</t>
  </si>
  <si>
    <t>2025.5.16.</t>
  </si>
  <si>
    <t>5月16新卡实装，报错修复</t>
  </si>
  <si>
    <t>运动会新卡追加</t>
  </si>
  <si>
    <t>2025.5.14.</t>
  </si>
  <si>
    <t>借卡功能实装，完全版1.0</t>
  </si>
  <si>
    <t>sp数量为0时报错修复，将永年系道具属性调整为52，减少其出现在配卡中的情况</t>
  </si>
  <si>
    <t>蓝黄、红黄感性以外流派报错修复，大申变</t>
  </si>
  <si>
    <t>计算区移位，方便后续长期维护</t>
  </si>
  <si>
    <t>事件</t>
    <phoneticPr fontId="10" type="noConversion"/>
  </si>
  <si>
    <t>道具属性</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</si>
</sst>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等线"/>
      <family val="2"/>
      <scheme val="minor"/>
    </font>
    <font>
      <sz val="10.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9"/>
      <color rgb="FF000000"/>
      <name val="等线"/>
      <family val="2"/>
      <scheme val="minor"/>
    </font>
    <font>
      <sz val="9"/>
      <color rgb="FF000000"/>
      <name val="等线"/>
      <family val="2"/>
      <scheme val="minor"/>
    </font>
    <font>
      <b/>
      <sz val="9.75"/>
      <color rgb="FF000000"/>
      <name val="等线"/>
      <family val="2"/>
      <scheme val="minor"/>
    </font>
    <font>
      <sz val="9.75"/>
      <color rgb="FF3370FF"/>
      <name val="等线"/>
      <family val="2"/>
      <scheme val="minor"/>
    </font>
    <font>
      <b/>
      <sz val="18"/>
      <color rgb="FFFF0000"/>
      <name val="等线"/>
      <family val="2"/>
      <scheme val="minor"/>
    </font>
    <font>
      <sz val="9"/>
      <name val="等线"/>
      <family val="3"/>
      <charset val="134"/>
      <scheme val="minor"/>
    </font>
  </fonts>
  <fills count="48">
    <fill>
      <patternFill patternType="none"/>
    </fill>
    <fill>
      <patternFill patternType="gray125"/>
    </fill>
    <fill>
      <patternFill patternType="solid">
        <fgColor rgb="FFFFEB9C"/>
      </patternFill>
    </fill>
    <fill>
      <patternFill patternType="solid">
        <fgColor rgb="FFF8CBAD"/>
      </patternFill>
    </fill>
    <fill>
      <patternFill patternType="solid">
        <fgColor rgb="FFC5E0B4"/>
      </patternFill>
    </fill>
    <fill>
      <patternFill patternType="solid">
        <fgColor rgb="FFBDD7EE"/>
      </patternFill>
    </fill>
    <fill>
      <patternFill patternType="solid">
        <fgColor rgb="FFB4C7E7"/>
      </patternFill>
    </fill>
    <fill>
      <patternFill patternType="solid">
        <fgColor rgb="FFAFABAB"/>
      </patternFill>
    </fill>
    <fill>
      <patternFill patternType="solid">
        <fgColor rgb="FFAFABAB"/>
      </patternFill>
    </fill>
    <fill>
      <patternFill patternType="solid">
        <fgColor rgb="FFFFEB9C"/>
      </patternFill>
    </fill>
    <fill>
      <patternFill patternType="solid">
        <fgColor rgb="FFBDD7EE"/>
      </patternFill>
    </fill>
    <fill>
      <patternFill patternType="solid">
        <fgColor rgb="FFF8CBAD"/>
      </patternFill>
    </fill>
    <fill>
      <patternFill patternType="solid">
        <fgColor rgb="FFB4C7E7"/>
      </patternFill>
    </fill>
    <fill>
      <patternFill patternType="solid">
        <fgColor rgb="FFFF0000"/>
      </patternFill>
    </fill>
    <fill>
      <patternFill patternType="solid">
        <fgColor rgb="FF00B0F0"/>
      </patternFill>
    </fill>
    <fill>
      <patternFill patternType="solid">
        <fgColor rgb="FFFFFF00"/>
      </patternFill>
    </fill>
    <fill>
      <patternFill patternType="solid">
        <fgColor rgb="FFFF9C99"/>
      </patternFill>
    </fill>
    <fill>
      <patternFill patternType="solid">
        <fgColor rgb="FF99BEFF"/>
      </patternFill>
    </fill>
    <fill>
      <patternFill patternType="solid">
        <fgColor rgb="FFFFE270"/>
      </patternFill>
    </fill>
    <fill>
      <patternFill patternType="solid">
        <fgColor rgb="FFFF9C99"/>
      </patternFill>
    </fill>
    <fill>
      <patternFill patternType="solid">
        <fgColor rgb="FF99BEFF"/>
      </patternFill>
    </fill>
    <fill>
      <patternFill patternType="solid">
        <fgColor rgb="FFFFE270"/>
      </patternFill>
    </fill>
    <fill>
      <patternFill patternType="solid">
        <fgColor rgb="FFFF9C99"/>
      </patternFill>
    </fill>
    <fill>
      <patternFill patternType="solid">
        <fgColor rgb="FF99BEFF"/>
      </patternFill>
    </fill>
    <fill>
      <patternFill patternType="solid">
        <fgColor rgb="FFFFE270"/>
      </patternFill>
    </fill>
    <fill>
      <patternFill patternType="solid">
        <fgColor rgb="FFDEE0E3"/>
      </patternFill>
    </fill>
    <fill>
      <patternFill patternType="solid">
        <fgColor rgb="FFDEE0E3"/>
      </patternFill>
    </fill>
    <fill>
      <patternFill patternType="solid">
        <fgColor rgb="FFDEE0E3"/>
      </patternFill>
    </fill>
    <fill>
      <patternFill patternType="solid">
        <fgColor rgb="FFFFE270"/>
      </patternFill>
    </fill>
    <fill>
      <patternFill patternType="solid">
        <fgColor rgb="FFFF9C99"/>
      </patternFill>
    </fill>
    <fill>
      <patternFill patternType="solid">
        <fgColor rgb="FFFFE270"/>
      </patternFill>
    </fill>
    <fill>
      <patternFill patternType="solid">
        <fgColor rgb="FFFF9C99"/>
      </patternFill>
    </fill>
    <fill>
      <patternFill patternType="solid">
        <fgColor rgb="FFFFEB9C"/>
      </patternFill>
    </fill>
    <fill>
      <patternFill patternType="solid">
        <fgColor rgb="FFDEE0E3"/>
      </patternFill>
    </fill>
    <fill>
      <patternFill patternType="solid">
        <fgColor rgb="FFDEE0E3"/>
      </patternFill>
    </fill>
    <fill>
      <patternFill patternType="solid">
        <fgColor rgb="FFFF9C99"/>
      </patternFill>
    </fill>
    <fill>
      <patternFill patternType="solid">
        <fgColor rgb="FFFFE270"/>
      </patternFill>
    </fill>
    <fill>
      <patternFill patternType="solid">
        <fgColor rgb="FFFFEB9C"/>
      </patternFill>
    </fill>
    <fill>
      <patternFill patternType="solid">
        <fgColor rgb="FFDEE0E3"/>
      </patternFill>
    </fill>
    <fill>
      <patternFill patternType="solid">
        <fgColor rgb="FF99BEFF"/>
      </patternFill>
    </fill>
    <fill>
      <patternFill patternType="solid">
        <fgColor rgb="FF99BEFF"/>
      </patternFill>
    </fill>
    <fill>
      <patternFill patternType="solid">
        <fgColor rgb="FFFF9C99"/>
      </patternFill>
    </fill>
    <fill>
      <patternFill patternType="solid">
        <fgColor rgb="FFFFEEAD"/>
      </patternFill>
    </fill>
    <fill>
      <patternFill patternType="solid">
        <fgColor rgb="FF99BEFF"/>
      </patternFill>
    </fill>
    <fill>
      <patternFill patternType="solid">
        <fgColor rgb="FFFF9C99"/>
      </patternFill>
    </fill>
    <fill>
      <patternFill patternType="solid">
        <fgColor rgb="FFFF9C99"/>
      </patternFill>
    </fill>
    <fill>
      <patternFill patternType="solid">
        <fgColor rgb="FFFFE270"/>
      </patternFill>
    </fill>
    <fill>
      <patternFill patternType="solid">
        <fgColor rgb="FF99BEFF"/>
      </patternFill>
    </fill>
  </fills>
  <borders count="12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bottom/>
      <diagonal/>
    </border>
    <border>
      <left style="thin">
        <color rgb="FF1F2329"/>
      </left>
      <right style="thin">
        <color rgb="FF1F2329"/>
      </right>
      <top/>
      <bottom/>
      <diagonal/>
    </border>
    <border>
      <left style="thin">
        <color rgb="FF1F2329"/>
      </left>
      <right style="thin">
        <color rgb="FF1F2329"/>
      </right>
      <top/>
      <bottom/>
      <diagonal/>
    </border>
    <border>
      <left/>
      <right style="thin">
        <color rgb="FF1F2329"/>
      </right>
      <top style="thin">
        <color rgb="FF1F2329"/>
      </top>
      <bottom style="thin">
        <color rgb="FF1F2329"/>
      </bottom>
      <diagonal/>
    </border>
    <border>
      <left/>
      <right style="thin">
        <color rgb="FF1F2329"/>
      </right>
      <top/>
      <bottom/>
      <diagonal/>
    </border>
    <border>
      <left style="thin">
        <color rgb="FF1F2329"/>
      </left>
      <right/>
      <top/>
      <bottom/>
      <diagonal/>
    </border>
    <border>
      <left/>
      <right/>
      <top/>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right/>
      <top/>
      <bottom/>
      <diagonal/>
    </border>
    <border>
      <left/>
      <right/>
      <top style="thin">
        <color rgb="FF1F2329"/>
      </top>
      <bottom style="thin">
        <color rgb="FF1F2329"/>
      </bottom>
      <diagonal/>
    </border>
    <border>
      <left style="thin">
        <color rgb="FF1F2329"/>
      </left>
      <right/>
      <top/>
      <bottom/>
      <diagonal/>
    </border>
    <border>
      <left style="thin">
        <color rgb="FF1F2329"/>
      </left>
      <right/>
      <top style="thin">
        <color rgb="FF1F2329"/>
      </top>
      <bottom style="thin">
        <color rgb="FF1F2329"/>
      </bottom>
      <diagonal/>
    </border>
    <border>
      <left/>
      <right style="thin">
        <color rgb="FF1F2329"/>
      </right>
      <top/>
      <bottom/>
      <diagonal/>
    </border>
    <border>
      <left style="thin">
        <color rgb="FF1F2329"/>
      </left>
      <right/>
      <top/>
      <bottom/>
      <diagonal/>
    </border>
    <border>
      <left/>
      <right/>
      <top/>
      <bottom/>
      <diagonal/>
    </border>
    <border>
      <left/>
      <right style="thin">
        <color rgb="FF1F2329"/>
      </right>
      <top/>
      <bottom/>
      <diagonal/>
    </border>
    <border>
      <left/>
      <right/>
      <top style="thin">
        <color rgb="FF1F2329"/>
      </top>
      <bottom/>
      <diagonal/>
    </border>
    <border>
      <left/>
      <right style="thin">
        <color rgb="FF1F2329"/>
      </right>
      <top style="thin">
        <color rgb="FF1F2329"/>
      </top>
      <bottom/>
      <diagonal/>
    </border>
    <border>
      <left style="thin">
        <color rgb="FF1F2329"/>
      </left>
      <right/>
      <top style="thin">
        <color rgb="FF1F2329"/>
      </top>
      <bottom/>
      <diagonal/>
    </border>
    <border>
      <left/>
      <right/>
      <top/>
      <bottom/>
      <diagonal/>
    </border>
    <border>
      <left style="thin">
        <color rgb="FF1F2329"/>
      </left>
      <right style="thin">
        <color rgb="FF1F2329"/>
      </right>
      <top style="thin">
        <color rgb="FF1F2329"/>
      </top>
      <bottom/>
      <diagonal/>
    </border>
    <border>
      <left/>
      <right/>
      <top/>
      <bottom/>
      <diagonal/>
    </border>
    <border>
      <left/>
      <right/>
      <top/>
      <bottom/>
      <diagonal/>
    </border>
    <border>
      <left/>
      <right/>
      <top/>
      <bottom/>
      <diagonal/>
    </border>
    <border>
      <left style="thin">
        <color rgb="FF1F2329"/>
      </left>
      <right/>
      <top/>
      <bottom/>
      <diagonal/>
    </border>
    <border>
      <left/>
      <right style="thin">
        <color rgb="FF1F2329"/>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diagonal/>
    </border>
    <border>
      <left/>
      <right/>
      <top/>
      <bottom/>
      <diagonal/>
    </border>
    <border>
      <left/>
      <right/>
      <top/>
      <bottom/>
      <diagonal/>
    </border>
    <border>
      <left/>
      <right/>
      <top/>
      <bottom/>
      <diagonal/>
    </border>
    <border>
      <left/>
      <right style="thin">
        <color rgb="FF1F2329"/>
      </right>
      <top/>
      <bottom/>
      <diagonal/>
    </border>
    <border>
      <left/>
      <right/>
      <top/>
      <bottom style="thin">
        <color rgb="FF1F2329"/>
      </bottom>
      <diagonal/>
    </border>
    <border>
      <left/>
      <right style="thin">
        <color rgb="FF1F2329"/>
      </right>
      <top/>
      <bottom style="thin">
        <color rgb="FF1F2329"/>
      </bottom>
      <diagonal/>
    </border>
    <border>
      <left style="thin">
        <color rgb="FF1F2329"/>
      </left>
      <right/>
      <top/>
      <bottom style="thin">
        <color rgb="FF1F2329"/>
      </bottom>
      <diagonal/>
    </border>
    <border>
      <left/>
      <right style="thin">
        <color rgb="FF1F2329"/>
      </right>
      <top/>
      <bottom style="thin">
        <color rgb="FF1F2329"/>
      </bottom>
      <diagonal/>
    </border>
    <border>
      <left style="thin">
        <color rgb="FF1F2329"/>
      </left>
      <right/>
      <top/>
      <bottom/>
      <diagonal/>
    </border>
    <border>
      <left/>
      <right/>
      <top/>
      <bottom style="thin">
        <color rgb="FF1F2329"/>
      </bottom>
      <diagonal/>
    </border>
    <border>
      <left/>
      <right/>
      <top/>
      <bottom/>
      <diagonal/>
    </border>
    <border>
      <left/>
      <right/>
      <top/>
      <bottom/>
      <diagonal/>
    </border>
    <border>
      <left/>
      <right/>
      <top/>
      <bottom/>
      <diagonal/>
    </border>
    <border>
      <left style="thin">
        <color rgb="FF1F2329"/>
      </left>
      <right/>
      <top/>
      <bottom style="thin">
        <color rgb="FF1F2329"/>
      </bottom>
      <diagonal/>
    </border>
    <border>
      <left/>
      <right/>
      <top/>
      <bottom/>
      <diagonal/>
    </border>
    <border>
      <left/>
      <right/>
      <top/>
      <bottom/>
      <diagonal/>
    </border>
    <border>
      <left/>
      <right/>
      <top/>
      <bottom/>
      <diagonal/>
    </border>
    <border>
      <left/>
      <right/>
      <top/>
      <bottom/>
      <diagonal/>
    </border>
    <border>
      <left style="thin">
        <color rgb="FF1F2329"/>
      </left>
      <right/>
      <top style="thin">
        <color rgb="FF1F2329"/>
      </top>
      <bottom/>
      <diagonal/>
    </border>
    <border>
      <left/>
      <right/>
      <top/>
      <bottom/>
      <diagonal/>
    </border>
    <border>
      <left/>
      <right/>
      <top/>
      <bottom/>
      <diagonal/>
    </border>
    <border>
      <left/>
      <right/>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right/>
      <top style="thin">
        <color rgb="FF1F2329"/>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141">
    <xf numFmtId="0" fontId="0" fillId="0" borderId="0" xfId="0" applyAlignment="1">
      <alignment vertical="center"/>
    </xf>
    <xf numFmtId="0" fontId="1" fillId="0" borderId="1" xfId="0" applyFont="1" applyBorder="1" applyAlignment="1">
      <alignment vertical="center"/>
    </xf>
    <xf numFmtId="0" fontId="2" fillId="0" borderId="2" xfId="0" applyFont="1" applyBorder="1" applyAlignment="1">
      <alignment vertical="center"/>
    </xf>
    <xf numFmtId="0" fontId="3" fillId="0" borderId="3" xfId="0" applyFont="1" applyBorder="1" applyAlignment="1">
      <alignment vertical="center"/>
    </xf>
    <xf numFmtId="0" fontId="4" fillId="0" borderId="4" xfId="0" applyFont="1" applyBorder="1" applyAlignment="1">
      <alignment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2" borderId="7" xfId="0" applyFont="1" applyFill="1" applyBorder="1" applyAlignment="1">
      <alignment vertical="center"/>
    </xf>
    <xf numFmtId="0" fontId="2" fillId="0" borderId="8" xfId="0" applyFont="1" applyBorder="1" applyAlignment="1">
      <alignment horizontal="center" vertical="center"/>
    </xf>
    <xf numFmtId="0" fontId="1" fillId="0" borderId="9" xfId="0" applyFont="1" applyBorder="1" applyAlignment="1">
      <alignment horizontal="center" vertical="center"/>
    </xf>
    <xf numFmtId="0" fontId="4" fillId="0" borderId="16" xfId="0" applyFont="1" applyBorder="1" applyAlignment="1">
      <alignment horizontal="center" vertical="center"/>
    </xf>
    <xf numFmtId="0" fontId="4" fillId="0" borderId="18" xfId="0" applyFont="1" applyBorder="1" applyAlignment="1">
      <alignment horizontal="center" vertical="center"/>
    </xf>
    <xf numFmtId="0" fontId="4" fillId="9" borderId="19" xfId="0" applyFont="1" applyFill="1" applyBorder="1" applyAlignment="1">
      <alignmen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3" fillId="0" borderId="22" xfId="0" applyFont="1" applyBorder="1" applyAlignment="1">
      <alignment horizontal="center" vertical="center"/>
    </xf>
    <xf numFmtId="0" fontId="2" fillId="0" borderId="24" xfId="0" applyFont="1" applyBorder="1" applyAlignment="1">
      <alignment vertical="center"/>
    </xf>
    <xf numFmtId="0" fontId="1" fillId="0" borderId="25" xfId="0" applyFont="1" applyBorder="1" applyAlignment="1">
      <alignment vertical="center"/>
    </xf>
    <xf numFmtId="0" fontId="2" fillId="0" borderId="26" xfId="0" applyFont="1" applyBorder="1" applyAlignment="1">
      <alignment vertical="center"/>
    </xf>
    <xf numFmtId="0" fontId="2" fillId="0" borderId="27" xfId="0" applyFont="1" applyBorder="1" applyAlignment="1">
      <alignment horizontal="center" vertical="center"/>
    </xf>
    <xf numFmtId="0" fontId="1" fillId="0" borderId="28" xfId="0" applyFont="1" applyBorder="1" applyAlignment="1">
      <alignment horizontal="center" vertical="center"/>
    </xf>
    <xf numFmtId="0" fontId="2" fillId="0" borderId="29" xfId="0" applyFont="1" applyBorder="1" applyAlignment="1">
      <alignment horizontal="center" vertical="center"/>
    </xf>
    <xf numFmtId="0" fontId="5" fillId="0" borderId="30" xfId="0" applyFont="1" applyBorder="1" applyAlignment="1">
      <alignment vertical="center"/>
    </xf>
    <xf numFmtId="0" fontId="2" fillId="0" borderId="33" xfId="0" applyFont="1" applyBorder="1" applyAlignment="1">
      <alignment vertical="center"/>
    </xf>
    <xf numFmtId="0" fontId="6" fillId="0" borderId="34" xfId="0" applyFont="1" applyBorder="1" applyAlignment="1">
      <alignment vertical="center"/>
    </xf>
    <xf numFmtId="0" fontId="2" fillId="13" borderId="35" xfId="0" applyFont="1" applyFill="1" applyBorder="1" applyAlignment="1">
      <alignment vertical="center"/>
    </xf>
    <xf numFmtId="0" fontId="1" fillId="14" borderId="36" xfId="0" applyFont="1" applyFill="1" applyBorder="1" applyAlignment="1">
      <alignment vertical="center"/>
    </xf>
    <xf numFmtId="0" fontId="2" fillId="15" borderId="37" xfId="0" applyFont="1" applyFill="1" applyBorder="1" applyAlignment="1">
      <alignment vertical="center"/>
    </xf>
    <xf numFmtId="0" fontId="4" fillId="0" borderId="38" xfId="0" applyFont="1" applyBorder="1" applyAlignment="1">
      <alignment horizontal="center" vertical="center"/>
    </xf>
    <xf numFmtId="0" fontId="3" fillId="0" borderId="39" xfId="0" applyFont="1" applyBorder="1" applyAlignment="1">
      <alignment horizontal="center" vertical="center"/>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3" fillId="16" borderId="43" xfId="0" applyFont="1" applyFill="1" applyBorder="1" applyAlignment="1">
      <alignment horizontal="center" vertical="center"/>
    </xf>
    <xf numFmtId="0" fontId="3" fillId="17" borderId="44" xfId="0" applyFont="1" applyFill="1" applyBorder="1" applyAlignment="1">
      <alignment horizontal="center" vertical="center"/>
    </xf>
    <xf numFmtId="0" fontId="3" fillId="18" borderId="45" xfId="0" applyFont="1" applyFill="1" applyBorder="1" applyAlignment="1">
      <alignment horizontal="center" vertical="center"/>
    </xf>
    <xf numFmtId="0" fontId="4" fillId="0" borderId="47" xfId="0" applyFont="1" applyBorder="1" applyAlignment="1">
      <alignment horizontal="center" vertical="center"/>
    </xf>
    <xf numFmtId="0" fontId="4" fillId="0" borderId="48" xfId="0" applyFont="1" applyBorder="1" applyAlignment="1">
      <alignment horizontal="center" vertical="center"/>
    </xf>
    <xf numFmtId="0" fontId="4" fillId="0" borderId="49" xfId="0" applyFont="1" applyBorder="1" applyAlignment="1">
      <alignment horizontal="right" vertical="center"/>
    </xf>
    <xf numFmtId="0" fontId="3" fillId="19" borderId="50" xfId="0" applyFont="1" applyFill="1" applyBorder="1" applyAlignment="1">
      <alignment horizontal="center" vertical="center"/>
    </xf>
    <xf numFmtId="0" fontId="3" fillId="20" borderId="51" xfId="0" applyFont="1" applyFill="1" applyBorder="1" applyAlignment="1">
      <alignment horizontal="center" vertical="center"/>
    </xf>
    <xf numFmtId="0" fontId="3" fillId="21" borderId="52" xfId="0" applyFont="1" applyFill="1" applyBorder="1" applyAlignment="1">
      <alignment horizontal="center" vertical="center"/>
    </xf>
    <xf numFmtId="0" fontId="8" fillId="0" borderId="53" xfId="0" applyFont="1" applyBorder="1" applyAlignment="1">
      <alignment horizontal="center" vertical="center"/>
    </xf>
    <xf numFmtId="0" fontId="4" fillId="0" borderId="54" xfId="0" applyFont="1" applyBorder="1" applyAlignment="1">
      <alignment horizontal="center" vertical="center"/>
    </xf>
    <xf numFmtId="0" fontId="8" fillId="0" borderId="55" xfId="0" applyFont="1" applyBorder="1" applyAlignment="1">
      <alignment horizontal="center" vertical="center"/>
    </xf>
    <xf numFmtId="0" fontId="4" fillId="0" borderId="56" xfId="0" applyFont="1" applyBorder="1" applyAlignment="1">
      <alignment horizontal="center" vertical="center"/>
    </xf>
    <xf numFmtId="0" fontId="8" fillId="0" borderId="57" xfId="0" applyFont="1" applyBorder="1" applyAlignment="1">
      <alignment horizontal="center" vertical="center"/>
    </xf>
    <xf numFmtId="0" fontId="3" fillId="22" borderId="58" xfId="0" applyFont="1" applyFill="1" applyBorder="1" applyAlignment="1">
      <alignment horizontal="center" vertical="center"/>
    </xf>
    <xf numFmtId="0" fontId="3" fillId="23" borderId="59" xfId="0" applyFont="1" applyFill="1" applyBorder="1" applyAlignment="1">
      <alignment horizontal="center" vertical="center"/>
    </xf>
    <xf numFmtId="0" fontId="3" fillId="24" borderId="60" xfId="0" applyFont="1" applyFill="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4" fillId="0" borderId="63" xfId="0" applyFont="1" applyBorder="1" applyAlignment="1">
      <alignment horizontal="center" vertical="center"/>
    </xf>
    <xf numFmtId="0" fontId="1" fillId="0" borderId="66" xfId="0" applyNumberFormat="1" applyFont="1" applyBorder="1" applyAlignment="1">
      <alignment vertical="center"/>
    </xf>
    <xf numFmtId="0" fontId="2" fillId="0" borderId="67" xfId="0" applyFont="1" applyBorder="1" applyAlignment="1">
      <alignment vertical="center"/>
    </xf>
    <xf numFmtId="0" fontId="4" fillId="25" borderId="68" xfId="0" applyFont="1" applyFill="1" applyBorder="1" applyAlignment="1">
      <alignment horizontal="center" vertical="center"/>
    </xf>
    <xf numFmtId="0" fontId="4" fillId="26" borderId="69" xfId="0" applyFont="1" applyFill="1" applyBorder="1" applyAlignment="1">
      <alignment horizontal="center" vertical="center"/>
    </xf>
    <xf numFmtId="0" fontId="4" fillId="27" borderId="70" xfId="0" applyFont="1" applyFill="1" applyBorder="1" applyAlignment="1">
      <alignment horizontal="center" vertical="center"/>
    </xf>
    <xf numFmtId="0" fontId="2" fillId="31" borderId="75" xfId="0" applyFont="1" applyFill="1" applyBorder="1" applyAlignment="1">
      <alignment vertical="center"/>
    </xf>
    <xf numFmtId="0" fontId="2" fillId="32" borderId="76" xfId="0" applyFont="1" applyFill="1" applyBorder="1" applyAlignment="1">
      <alignment horizontal="center" vertical="center"/>
    </xf>
    <xf numFmtId="0" fontId="3" fillId="0" borderId="77" xfId="0" applyFont="1" applyBorder="1" applyAlignment="1">
      <alignment horizontal="center" vertical="center"/>
    </xf>
    <xf numFmtId="0" fontId="3" fillId="0" borderId="78" xfId="0" applyFont="1" applyBorder="1" applyAlignment="1">
      <alignment horizontal="center" vertical="center"/>
    </xf>
    <xf numFmtId="0" fontId="4" fillId="33" borderId="79" xfId="0" applyFont="1" applyFill="1" applyBorder="1" applyAlignment="1">
      <alignment horizontal="center" vertical="center"/>
    </xf>
    <xf numFmtId="0" fontId="4" fillId="34" borderId="80" xfId="0" applyFont="1" applyFill="1" applyBorder="1" applyAlignment="1">
      <alignment horizontal="center" vertical="center"/>
    </xf>
    <xf numFmtId="0" fontId="4" fillId="0" borderId="82" xfId="0" applyFont="1" applyBorder="1" applyAlignment="1">
      <alignment horizontal="center" vertical="center"/>
    </xf>
    <xf numFmtId="0" fontId="4" fillId="0" borderId="83" xfId="0" applyFont="1" applyBorder="1" applyAlignment="1">
      <alignment vertical="center"/>
    </xf>
    <xf numFmtId="0" fontId="4" fillId="0" borderId="84" xfId="0" applyFont="1" applyBorder="1" applyAlignment="1">
      <alignment horizontal="center" vertical="center"/>
    </xf>
    <xf numFmtId="0" fontId="4" fillId="35" borderId="85" xfId="0" applyFont="1" applyFill="1" applyBorder="1" applyAlignment="1">
      <alignment vertical="center"/>
    </xf>
    <xf numFmtId="0" fontId="2" fillId="36" borderId="86" xfId="0" applyFont="1" applyFill="1" applyBorder="1" applyAlignment="1">
      <alignment vertical="center"/>
    </xf>
    <xf numFmtId="0" fontId="1" fillId="37" borderId="87" xfId="0" applyFont="1" applyFill="1" applyBorder="1" applyAlignment="1">
      <alignment horizontal="center" vertical="center"/>
    </xf>
    <xf numFmtId="0" fontId="4" fillId="38" borderId="88" xfId="0" applyFont="1" applyFill="1" applyBorder="1" applyAlignment="1">
      <alignment horizontal="center" vertical="center"/>
    </xf>
    <xf numFmtId="0" fontId="1" fillId="41" borderId="91" xfId="0" applyFont="1" applyFill="1" applyBorder="1" applyAlignment="1">
      <alignment vertical="center"/>
    </xf>
    <xf numFmtId="49" fontId="4" fillId="0" borderId="92" xfId="0" applyNumberFormat="1" applyFont="1" applyBorder="1" applyAlignment="1">
      <alignment horizontal="left" vertical="center"/>
    </xf>
    <xf numFmtId="49" fontId="4" fillId="0" borderId="94" xfId="0" applyNumberFormat="1" applyFont="1" applyBorder="1" applyAlignment="1">
      <alignment vertical="center"/>
    </xf>
    <xf numFmtId="0" fontId="2" fillId="42" borderId="95" xfId="0" applyFont="1" applyFill="1" applyBorder="1" applyAlignment="1">
      <alignment horizontal="center" vertical="center"/>
    </xf>
    <xf numFmtId="49" fontId="2" fillId="0" borderId="96" xfId="0" applyNumberFormat="1" applyFont="1" applyBorder="1" applyAlignment="1">
      <alignment vertical="center"/>
    </xf>
    <xf numFmtId="0" fontId="2" fillId="43" borderId="99" xfId="0" applyFont="1" applyFill="1" applyBorder="1" applyAlignment="1">
      <alignment vertical="center"/>
    </xf>
    <xf numFmtId="0" fontId="3" fillId="44" borderId="100" xfId="0" applyFont="1" applyFill="1" applyBorder="1" applyAlignment="1">
      <alignment horizontal="center" vertical="center"/>
    </xf>
    <xf numFmtId="0" fontId="1" fillId="0" borderId="101" xfId="0" applyFont="1" applyBorder="1" applyAlignment="1">
      <alignment horizontal="center" vertical="center"/>
    </xf>
    <xf numFmtId="0" fontId="8" fillId="0" borderId="102" xfId="0" applyFont="1" applyBorder="1" applyAlignment="1">
      <alignment horizontal="center" vertical="center"/>
    </xf>
    <xf numFmtId="0" fontId="8" fillId="0" borderId="103" xfId="0" applyFont="1" applyBorder="1" applyAlignment="1">
      <alignment horizontal="center" vertical="center"/>
    </xf>
    <xf numFmtId="0" fontId="8" fillId="0" borderId="104" xfId="0" applyFont="1" applyBorder="1" applyAlignment="1">
      <alignment horizontal="center" vertical="center"/>
    </xf>
    <xf numFmtId="0" fontId="3" fillId="45" borderId="105" xfId="0" applyFont="1" applyFill="1" applyBorder="1" applyAlignment="1">
      <alignment horizontal="center" vertical="center"/>
    </xf>
    <xf numFmtId="0" fontId="1" fillId="0" borderId="106" xfId="0" applyNumberFormat="1" applyFont="1" applyBorder="1"/>
    <xf numFmtId="0" fontId="3" fillId="0" borderId="107" xfId="0" applyNumberFormat="1" applyFont="1" applyBorder="1"/>
    <xf numFmtId="0" fontId="1" fillId="0" borderId="108" xfId="0" applyFont="1" applyBorder="1"/>
    <xf numFmtId="0" fontId="5" fillId="0" borderId="109" xfId="0" applyNumberFormat="1" applyFont="1" applyBorder="1"/>
    <xf numFmtId="0" fontId="3" fillId="0" borderId="110" xfId="0" applyFont="1" applyBorder="1" applyAlignment="1">
      <alignment horizontal="left"/>
    </xf>
    <xf numFmtId="0" fontId="3" fillId="0" borderId="111" xfId="0" applyFont="1" applyBorder="1"/>
    <xf numFmtId="0" fontId="4" fillId="46" borderId="112" xfId="0" applyFont="1" applyFill="1" applyBorder="1" applyAlignment="1">
      <alignment vertical="center"/>
    </xf>
    <xf numFmtId="0" fontId="1" fillId="0" borderId="113" xfId="0" applyFont="1" applyBorder="1" applyAlignment="1">
      <alignment horizontal="left"/>
    </xf>
    <xf numFmtId="0" fontId="1" fillId="0" borderId="114" xfId="0" applyFont="1" applyBorder="1" applyAlignment="1">
      <alignment horizontal="left" vertical="center"/>
    </xf>
    <xf numFmtId="0" fontId="2" fillId="0" borderId="115" xfId="0" applyFont="1" applyBorder="1"/>
    <xf numFmtId="0" fontId="4" fillId="47" borderId="116" xfId="0" applyFont="1" applyFill="1" applyBorder="1" applyAlignment="1">
      <alignment vertical="center"/>
    </xf>
    <xf numFmtId="49" fontId="1" fillId="0" borderId="117" xfId="0" applyNumberFormat="1" applyFont="1" applyBorder="1" applyAlignment="1">
      <alignment horizontal="left"/>
    </xf>
    <xf numFmtId="0" fontId="2" fillId="0" borderId="118" xfId="0" applyFont="1" applyBorder="1" applyAlignment="1">
      <alignment horizontal="left" vertical="center"/>
    </xf>
    <xf numFmtId="0" fontId="0" fillId="0" borderId="119" xfId="0" applyBorder="1"/>
    <xf numFmtId="0" fontId="2" fillId="0" borderId="120" xfId="0" applyFont="1" applyBorder="1" applyAlignment="1">
      <alignment horizontal="left"/>
    </xf>
    <xf numFmtId="0" fontId="4" fillId="0" borderId="121" xfId="0" applyFont="1" applyBorder="1"/>
    <xf numFmtId="49" fontId="4" fillId="0" borderId="122" xfId="0" applyNumberFormat="1" applyFont="1" applyBorder="1" applyAlignment="1">
      <alignment horizontal="left"/>
    </xf>
    <xf numFmtId="0" fontId="1" fillId="0" borderId="1" xfId="0" applyFont="1" applyBorder="1" applyAlignment="1">
      <alignment vertical="center"/>
    </xf>
    <xf numFmtId="0" fontId="0" fillId="0" borderId="0" xfId="0" applyAlignment="1">
      <alignment vertical="center"/>
    </xf>
    <xf numFmtId="0" fontId="2" fillId="0" borderId="13" xfId="0" applyFont="1" applyBorder="1" applyAlignment="1">
      <alignment horizontal="center" vertical="center"/>
    </xf>
    <xf numFmtId="0" fontId="2" fillId="4" borderId="11" xfId="0" applyFont="1" applyFill="1" applyBorder="1" applyAlignment="1">
      <alignment horizontal="center" vertical="center"/>
    </xf>
    <xf numFmtId="0" fontId="3" fillId="0" borderId="3" xfId="0" applyFont="1" applyBorder="1" applyAlignment="1">
      <alignment vertical="center"/>
    </xf>
    <xf numFmtId="0" fontId="2" fillId="6" borderId="14" xfId="0" applyFont="1" applyFill="1" applyBorder="1" applyAlignment="1">
      <alignment horizontal="center" vertical="center"/>
    </xf>
    <xf numFmtId="0" fontId="2" fillId="5" borderId="12" xfId="0" applyFont="1" applyFill="1" applyBorder="1" applyAlignment="1">
      <alignment horizontal="center" vertical="center"/>
    </xf>
    <xf numFmtId="0" fontId="2" fillId="3" borderId="10" xfId="0" applyFont="1" applyFill="1" applyBorder="1" applyAlignment="1">
      <alignment horizontal="center" vertical="center"/>
    </xf>
    <xf numFmtId="0" fontId="2" fillId="7" borderId="15" xfId="0" applyFont="1" applyFill="1" applyBorder="1" applyAlignment="1">
      <alignment horizontal="center" vertical="center"/>
    </xf>
    <xf numFmtId="0" fontId="4" fillId="0" borderId="16" xfId="0" applyFont="1" applyBorder="1" applyAlignment="1">
      <alignment horizontal="center" vertical="center"/>
    </xf>
    <xf numFmtId="0" fontId="4" fillId="12" borderId="32" xfId="0" applyFont="1" applyFill="1" applyBorder="1" applyAlignment="1">
      <alignment horizontal="center" vertical="center"/>
    </xf>
    <xf numFmtId="0" fontId="4" fillId="8" borderId="17" xfId="0" applyFont="1" applyFill="1" applyBorder="1" applyAlignment="1">
      <alignment horizontal="center" vertical="center"/>
    </xf>
    <xf numFmtId="0" fontId="4" fillId="0" borderId="4" xfId="0" applyFont="1" applyBorder="1" applyAlignment="1">
      <alignment vertical="center"/>
    </xf>
    <xf numFmtId="0" fontId="4" fillId="10" borderId="23" xfId="0" applyFont="1" applyFill="1" applyBorder="1" applyAlignment="1">
      <alignment horizontal="center" vertical="center"/>
    </xf>
    <xf numFmtId="0" fontId="4" fillId="11" borderId="31" xfId="0" applyFont="1" applyFill="1" applyBorder="1" applyAlignment="1">
      <alignment horizontal="center" vertical="center"/>
    </xf>
    <xf numFmtId="0" fontId="1" fillId="28" borderId="71" xfId="0" applyFont="1" applyFill="1" applyBorder="1" applyAlignment="1">
      <alignment vertical="center"/>
    </xf>
    <xf numFmtId="0" fontId="1" fillId="41" borderId="91" xfId="0" applyFont="1" applyFill="1" applyBorder="1" applyAlignment="1">
      <alignment vertical="center"/>
    </xf>
    <xf numFmtId="0" fontId="1" fillId="40" borderId="90" xfId="0" applyFont="1" applyFill="1" applyBorder="1" applyAlignment="1">
      <alignment vertical="center"/>
    </xf>
    <xf numFmtId="0" fontId="3" fillId="0" borderId="93" xfId="0" applyFont="1" applyBorder="1" applyAlignment="1">
      <alignment horizontal="center" vertical="center"/>
    </xf>
    <xf numFmtId="0" fontId="3" fillId="29" borderId="72" xfId="0" applyFont="1" applyFill="1" applyBorder="1" applyAlignment="1">
      <alignment vertical="center"/>
    </xf>
    <xf numFmtId="0" fontId="3" fillId="30" borderId="73" xfId="0" applyFont="1" applyFill="1" applyBorder="1" applyAlignment="1">
      <alignment vertical="center"/>
    </xf>
    <xf numFmtId="0" fontId="3" fillId="0" borderId="74" xfId="0" applyFont="1" applyBorder="1" applyAlignment="1">
      <alignment horizontal="center" vertical="center"/>
    </xf>
    <xf numFmtId="0" fontId="3" fillId="0" borderId="98" xfId="0" applyFont="1" applyBorder="1" applyAlignment="1">
      <alignment horizontal="center" vertical="center"/>
    </xf>
    <xf numFmtId="0" fontId="4" fillId="35" borderId="85" xfId="0" applyFont="1" applyFill="1" applyBorder="1" applyAlignment="1">
      <alignment vertical="center"/>
    </xf>
    <xf numFmtId="0" fontId="4" fillId="0" borderId="65" xfId="0" applyFont="1" applyBorder="1" applyAlignment="1">
      <alignment horizontal="center" vertical="center"/>
    </xf>
    <xf numFmtId="0" fontId="4" fillId="0" borderId="41" xfId="0" applyFont="1" applyBorder="1" applyAlignment="1">
      <alignment horizontal="center" vertical="center"/>
    </xf>
    <xf numFmtId="0" fontId="3" fillId="39" borderId="89" xfId="0" applyFont="1" applyFill="1" applyBorder="1" applyAlignment="1">
      <alignment vertical="center"/>
    </xf>
    <xf numFmtId="0" fontId="3" fillId="0" borderId="97" xfId="0" applyFont="1" applyBorder="1" applyAlignment="1">
      <alignment horizontal="left" vertical="center"/>
    </xf>
    <xf numFmtId="0" fontId="4" fillId="0" borderId="48" xfId="0" applyFont="1" applyBorder="1" applyAlignment="1">
      <alignment horizontal="center" vertical="center"/>
    </xf>
    <xf numFmtId="0" fontId="9" fillId="0" borderId="64" xfId="0" applyFont="1" applyBorder="1" applyAlignment="1">
      <alignment horizontal="center"/>
    </xf>
    <xf numFmtId="0" fontId="4" fillId="0" borderId="49" xfId="0" applyFont="1" applyBorder="1" applyAlignment="1">
      <alignment horizontal="right" vertical="center"/>
    </xf>
    <xf numFmtId="0" fontId="7" fillId="0" borderId="42" xfId="0" applyFont="1" applyBorder="1" applyAlignment="1">
      <alignment horizontal="center" vertical="center"/>
    </xf>
    <xf numFmtId="0" fontId="4" fillId="0" borderId="46" xfId="0" applyFont="1" applyBorder="1" applyAlignment="1">
      <alignment horizontal="center" vertical="center"/>
    </xf>
    <xf numFmtId="0" fontId="4" fillId="0" borderId="56" xfId="0" applyFont="1" applyBorder="1" applyAlignment="1">
      <alignment horizontal="center" vertical="center"/>
    </xf>
    <xf numFmtId="0" fontId="4" fillId="0" borderId="63" xfId="0" applyFont="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4" fillId="0" borderId="81" xfId="0" applyFont="1" applyBorder="1" applyAlignment="1">
      <alignment horizontal="center" vertical="center"/>
    </xf>
    <xf numFmtId="0" fontId="4" fillId="0" borderId="84" xfId="0" applyFont="1" applyBorder="1" applyAlignment="1">
      <alignment horizontal="center" vertical="center"/>
    </xf>
    <xf numFmtId="0" fontId="4" fillId="0" borderId="82" xfId="0" applyFont="1" applyBorder="1" applyAlignment="1">
      <alignment horizontal="center" vertical="center"/>
    </xf>
    <xf numFmtId="0" fontId="3" fillId="0" borderId="111" xfId="0" applyFont="1" applyBorder="1"/>
    <xf numFmtId="0" fontId="4" fillId="0" borderId="121" xfId="0" applyFont="1" applyBorder="1"/>
  </cellXfs>
  <cellStyles count="1">
    <cellStyle name="常规" xfId="0" builtinId="0"/>
  </cellStyles>
  <dxfs count="36">
    <dxf>
      <fill>
        <patternFill patternType="solid">
          <fgColor indexed="64"/>
          <bgColor rgb="FFFFE270"/>
        </patternFill>
      </fill>
    </dxf>
    <dxf>
      <fill>
        <patternFill patternType="solid">
          <fgColor indexed="64"/>
          <bgColor rgb="FFFF9C99"/>
        </patternFill>
      </fill>
    </dxf>
    <dxf>
      <fill>
        <patternFill patternType="solid">
          <fgColor indexed="64"/>
          <bgColor rgb="FF99BEFF"/>
        </patternFill>
      </fill>
    </dxf>
    <dxf>
      <fill>
        <patternFill patternType="solid">
          <fgColor indexed="64"/>
          <bgColor rgb="FFFFE270"/>
        </patternFill>
      </fill>
    </dxf>
    <dxf>
      <fill>
        <patternFill patternType="solid">
          <fgColor indexed="64"/>
          <bgColor rgb="FFFF9C99"/>
        </patternFill>
      </fill>
    </dxf>
    <dxf>
      <fill>
        <patternFill patternType="solid">
          <fgColor indexed="64"/>
          <bgColor rgb="FF99BEFF"/>
        </patternFill>
      </fill>
    </dxf>
    <dxf>
      <fill>
        <patternFill patternType="solid">
          <fgColor indexed="64"/>
          <bgColor rgb="FF99BEFF"/>
        </patternFill>
      </fill>
    </dxf>
    <dxf>
      <fill>
        <patternFill patternType="solid">
          <fgColor indexed="64"/>
          <bgColor rgb="FFFF9C99"/>
        </patternFill>
      </fill>
    </dxf>
    <dxf>
      <fill>
        <patternFill patternType="solid">
          <fgColor indexed="64"/>
          <bgColor rgb="FFFFE270"/>
        </patternFill>
      </fill>
    </dxf>
    <dxf>
      <fill>
        <patternFill patternType="solid">
          <fgColor indexed="64"/>
          <bgColor rgb="FF99BEFF"/>
        </patternFill>
      </fill>
    </dxf>
    <dxf>
      <fill>
        <patternFill patternType="solid">
          <fgColor indexed="64"/>
          <bgColor rgb="FFFF9C99"/>
        </patternFill>
      </fill>
    </dxf>
    <dxf>
      <fill>
        <patternFill patternType="solid">
          <fgColor indexed="64"/>
          <bgColor rgb="FFFFE270"/>
        </patternFill>
      </fill>
    </dxf>
    <dxf>
      <fill>
        <patternFill patternType="solid">
          <fgColor indexed="64"/>
          <bgColor rgb="FFFF9C99"/>
        </patternFill>
      </fill>
    </dxf>
    <dxf>
      <fill>
        <patternFill patternType="solid">
          <fgColor indexed="64"/>
          <bgColor rgb="FFFFE270"/>
        </patternFill>
      </fill>
    </dxf>
    <dxf>
      <fill>
        <patternFill patternType="solid">
          <fgColor indexed="64"/>
          <bgColor rgb="FF99BEFF"/>
        </patternFill>
      </fill>
    </dxf>
    <dxf>
      <fill>
        <patternFill patternType="solid">
          <fgColor indexed="64"/>
          <bgColor rgb="FFFF9C99"/>
        </patternFill>
      </fill>
    </dxf>
    <dxf>
      <fill>
        <patternFill patternType="solid">
          <fgColor indexed="64"/>
          <bgColor rgb="FF99BEFF"/>
        </patternFill>
      </fill>
    </dxf>
    <dxf>
      <fill>
        <patternFill patternType="solid">
          <fgColor indexed="64"/>
          <bgColor rgb="FFFFE270"/>
        </patternFill>
      </fill>
    </dxf>
    <dxf>
      <fill>
        <patternFill patternType="solid">
          <fgColor indexed="64"/>
          <bgColor rgb="FFFFE270"/>
        </patternFill>
      </fill>
    </dxf>
    <dxf>
      <fill>
        <patternFill patternType="solid">
          <fgColor indexed="64"/>
          <bgColor rgb="FFFF9C99"/>
        </patternFill>
      </fill>
    </dxf>
    <dxf>
      <fill>
        <patternFill patternType="solid">
          <fgColor indexed="64"/>
          <bgColor rgb="FF99BEFF"/>
        </patternFill>
      </fill>
    </dxf>
    <dxf>
      <fill>
        <patternFill patternType="solid">
          <fgColor indexed="64"/>
          <bgColor rgb="FFFF9C99"/>
        </patternFill>
      </fill>
    </dxf>
    <dxf>
      <fill>
        <patternFill patternType="solid">
          <fgColor indexed="64"/>
          <bgColor rgb="FFFFE270"/>
        </patternFill>
      </fill>
    </dxf>
    <dxf>
      <fill>
        <patternFill patternType="solid">
          <fgColor indexed="64"/>
          <bgColor rgb="FF99BEFF"/>
        </patternFill>
      </fill>
    </dxf>
    <dxf>
      <fill>
        <patternFill patternType="solid">
          <fgColor indexed="64"/>
          <bgColor rgb="FFFFE270"/>
        </patternFill>
      </fill>
    </dxf>
    <dxf>
      <fill>
        <patternFill patternType="solid">
          <fgColor indexed="64"/>
          <bgColor rgb="FFFF9C99"/>
        </patternFill>
      </fill>
    </dxf>
    <dxf>
      <fill>
        <patternFill patternType="solid">
          <fgColor indexed="64"/>
          <bgColor rgb="FF99BEFF"/>
        </patternFill>
      </fill>
    </dxf>
    <dxf>
      <fill>
        <patternFill patternType="solid">
          <fgColor indexed="64"/>
          <bgColor rgb="FF99BEFF"/>
        </patternFill>
      </fill>
    </dxf>
    <dxf>
      <fill>
        <patternFill patternType="solid">
          <fgColor indexed="64"/>
          <bgColor rgb="FFFF9C99"/>
        </patternFill>
      </fill>
    </dxf>
    <dxf>
      <fill>
        <patternFill patternType="solid">
          <fgColor indexed="64"/>
          <bgColor rgb="FFFFE270"/>
        </patternFill>
      </fill>
    </dxf>
    <dxf>
      <fill>
        <patternFill patternType="solid">
          <fgColor indexed="64"/>
          <bgColor rgb="FF99BEFF"/>
        </patternFill>
      </fill>
    </dxf>
    <dxf>
      <fill>
        <patternFill patternType="solid">
          <fgColor indexed="64"/>
          <bgColor rgb="FFFF9C99"/>
        </patternFill>
      </fill>
    </dxf>
    <dxf>
      <fill>
        <patternFill patternType="solid">
          <fgColor indexed="64"/>
          <bgColor rgb="FFFFE270"/>
        </patternFill>
      </fill>
    </dxf>
    <dxf>
      <fill>
        <patternFill patternType="solid">
          <fgColor indexed="64"/>
          <bgColor rgb="FF99BEFF"/>
        </patternFill>
      </fill>
    </dxf>
    <dxf>
      <fill>
        <patternFill patternType="solid">
          <fgColor indexed="64"/>
          <bgColor rgb="FFFF9C99"/>
        </patternFill>
      </fill>
    </dxf>
    <dxf>
      <fill>
        <patternFill patternType="solid">
          <fgColor indexed="64"/>
          <bgColor rgb="FFFFE27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6" Type="http://schemas.openxmlformats.org/officeDocument/2006/relationships/image" Target="../media/image16.jpeg"/><Relationship Id="rId107" Type="http://schemas.openxmlformats.org/officeDocument/2006/relationships/image" Target="../media/image107.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102" Type="http://schemas.openxmlformats.org/officeDocument/2006/relationships/image" Target="../media/image102.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80" Type="http://schemas.openxmlformats.org/officeDocument/2006/relationships/image" Target="../media/image80.jpeg"/><Relationship Id="rId85" Type="http://schemas.openxmlformats.org/officeDocument/2006/relationships/image" Target="../media/image85.jpe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08" Type="http://schemas.openxmlformats.org/officeDocument/2006/relationships/image" Target="../media/image108.jpeg"/><Relationship Id="rId54" Type="http://schemas.openxmlformats.org/officeDocument/2006/relationships/image" Target="../media/image54.jpeg"/><Relationship Id="rId70" Type="http://schemas.openxmlformats.org/officeDocument/2006/relationships/image" Target="../media/image70.jpeg"/><Relationship Id="rId75" Type="http://schemas.openxmlformats.org/officeDocument/2006/relationships/image" Target="../media/image75.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6" Type="http://schemas.openxmlformats.org/officeDocument/2006/relationships/image" Target="../media/image106.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04" Type="http://schemas.openxmlformats.org/officeDocument/2006/relationships/image" Target="../media/image104.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105" Type="http://schemas.openxmlformats.org/officeDocument/2006/relationships/image" Target="../media/image105.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88" Type="http://schemas.openxmlformats.org/officeDocument/2006/relationships/image" Target="../media/image88.jpeg"/></Relationships>
</file>

<file path=xl/drawings/drawing1.xml><?xml version="1.0" encoding="utf-8"?>
<xdr:wsDr xmlns:xdr="http://schemas.openxmlformats.org/drawingml/2006/spreadsheetDrawing" xmlns:a="http://schemas.openxmlformats.org/drawingml/2006/main">
  <xdr:twoCellAnchor>
    <xdr:from>
      <xdr:col>20</xdr:col>
      <xdr:colOff>38100</xdr:colOff>
      <xdr:row>68</xdr:row>
      <xdr:rowOff>38100</xdr:rowOff>
    </xdr:from>
    <xdr:to>
      <xdr:col>21</xdr:col>
      <xdr:colOff>-38100</xdr:colOff>
      <xdr:row>69</xdr:row>
      <xdr:rowOff>-38100</xdr:rowOff>
    </xdr:to>
    <xdr:pic>
      <xdr:nvPicPr>
        <xdr:cNvPr id="2" name="Picture 2" descr="AYVTHd">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10</xdr:col>
      <xdr:colOff>38100</xdr:colOff>
      <xdr:row>68</xdr:row>
      <xdr:rowOff>38100</xdr:rowOff>
    </xdr:from>
    <xdr:to>
      <xdr:col>11</xdr:col>
      <xdr:colOff>-38100</xdr:colOff>
      <xdr:row>69</xdr:row>
      <xdr:rowOff>-38100</xdr:rowOff>
    </xdr:to>
    <xdr:pic>
      <xdr:nvPicPr>
        <xdr:cNvPr id="3" name="Picture 3" descr="jwwYbj">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0</xdr:col>
      <xdr:colOff>38100</xdr:colOff>
      <xdr:row>68</xdr:row>
      <xdr:rowOff>38100</xdr:rowOff>
    </xdr:from>
    <xdr:to>
      <xdr:col>1</xdr:col>
      <xdr:colOff>-38100</xdr:colOff>
      <xdr:row>69</xdr:row>
      <xdr:rowOff>-38100</xdr:rowOff>
    </xdr:to>
    <xdr:pic>
      <xdr:nvPicPr>
        <xdr:cNvPr id="4" name="Picture 4" descr="MguWQg">
          <a:extLst>
            <a:ext uri="{FF2B5EF4-FFF2-40B4-BE49-F238E27FC236}">
              <a16:creationId xmlns:a16="http://schemas.microsoft.com/office/drawing/2014/main" id="{00000000-0008-0000-0000-000004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30</xdr:col>
      <xdr:colOff>38100</xdr:colOff>
      <xdr:row>68</xdr:row>
      <xdr:rowOff>38100</xdr:rowOff>
    </xdr:from>
    <xdr:to>
      <xdr:col>31</xdr:col>
      <xdr:colOff>-38100</xdr:colOff>
      <xdr:row>69</xdr:row>
      <xdr:rowOff>-38100</xdr:rowOff>
    </xdr:to>
    <xdr:pic>
      <xdr:nvPicPr>
        <xdr:cNvPr id="5" name="Picture 5" descr="cdykTx">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4"/>
        <a:stretch>
          <a:fillRect/>
        </a:stretch>
      </xdr:blipFill>
      <xdr:spPr>
        <a:xfrm>
          <a:off x="0" y="0"/>
          <a:ext cx="0" cy="0"/>
        </a:xfrm>
        <a:prstGeom prst="rect">
          <a:avLst/>
        </a:prstGeom>
      </xdr:spPr>
    </xdr:pic>
    <xdr:clientData fLocksWithSheet="0"/>
  </xdr:twoCellAnchor>
  <xdr:twoCellAnchor>
    <xdr:from>
      <xdr:col>50</xdr:col>
      <xdr:colOff>38100</xdr:colOff>
      <xdr:row>68</xdr:row>
      <xdr:rowOff>38100</xdr:rowOff>
    </xdr:from>
    <xdr:to>
      <xdr:col>51</xdr:col>
      <xdr:colOff>-38100</xdr:colOff>
      <xdr:row>69</xdr:row>
      <xdr:rowOff>-38100</xdr:rowOff>
    </xdr:to>
    <xdr:pic>
      <xdr:nvPicPr>
        <xdr:cNvPr id="6" name="Picture 6" descr="WFTFoo">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5"/>
        <a:stretch>
          <a:fillRect/>
        </a:stretch>
      </xdr:blipFill>
      <xdr:spPr>
        <a:xfrm>
          <a:off x="0" y="0"/>
          <a:ext cx="0" cy="0"/>
        </a:xfrm>
        <a:prstGeom prst="rect">
          <a:avLst/>
        </a:prstGeom>
      </xdr:spPr>
    </xdr:pic>
    <xdr:clientData fLocksWithSheet="0"/>
  </xdr:twoCellAnchor>
  <xdr:twoCellAnchor>
    <xdr:from>
      <xdr:col>40</xdr:col>
      <xdr:colOff>38100</xdr:colOff>
      <xdr:row>68</xdr:row>
      <xdr:rowOff>38100</xdr:rowOff>
    </xdr:from>
    <xdr:to>
      <xdr:col>41</xdr:col>
      <xdr:colOff>-38100</xdr:colOff>
      <xdr:row>69</xdr:row>
      <xdr:rowOff>-38100</xdr:rowOff>
    </xdr:to>
    <xdr:pic>
      <xdr:nvPicPr>
        <xdr:cNvPr id="7" name="Picture 7" descr="wMVFIQ">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6"/>
        <a:stretch>
          <a:fillRect/>
        </a:stretch>
      </xdr:blipFill>
      <xdr:spPr>
        <a:xfrm>
          <a:off x="0" y="0"/>
          <a:ext cx="0" cy="0"/>
        </a:xfrm>
        <a:prstGeom prst="rect">
          <a:avLst/>
        </a:prstGeom>
      </xdr:spPr>
    </xdr:pic>
    <xdr:clientData fLocksWithSheet="0"/>
  </xdr:twoCellAnchor>
  <xdr:twoCellAnchor>
    <xdr:from>
      <xdr:col>30</xdr:col>
      <xdr:colOff>38100</xdr:colOff>
      <xdr:row>50</xdr:row>
      <xdr:rowOff>38100</xdr:rowOff>
    </xdr:from>
    <xdr:to>
      <xdr:col>31</xdr:col>
      <xdr:colOff>-38100</xdr:colOff>
      <xdr:row>51</xdr:row>
      <xdr:rowOff>-38100</xdr:rowOff>
    </xdr:to>
    <xdr:pic>
      <xdr:nvPicPr>
        <xdr:cNvPr id="8" name="Picture 8" descr="PrmOdz">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7"/>
        <a:stretch>
          <a:fillRect/>
        </a:stretch>
      </xdr:blipFill>
      <xdr:spPr>
        <a:xfrm>
          <a:off x="0" y="0"/>
          <a:ext cx="0" cy="0"/>
        </a:xfrm>
        <a:prstGeom prst="rect">
          <a:avLst/>
        </a:prstGeom>
      </xdr:spPr>
    </xdr:pic>
    <xdr:clientData fLocksWithSheet="0"/>
  </xdr:twoCellAnchor>
  <xdr:twoCellAnchor>
    <xdr:from>
      <xdr:col>40</xdr:col>
      <xdr:colOff>38100</xdr:colOff>
      <xdr:row>50</xdr:row>
      <xdr:rowOff>38100</xdr:rowOff>
    </xdr:from>
    <xdr:to>
      <xdr:col>41</xdr:col>
      <xdr:colOff>-38100</xdr:colOff>
      <xdr:row>51</xdr:row>
      <xdr:rowOff>-38100</xdr:rowOff>
    </xdr:to>
    <xdr:pic>
      <xdr:nvPicPr>
        <xdr:cNvPr id="9" name="Picture 9" descr="zNQfWv">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8"/>
        <a:stretch>
          <a:fillRect/>
        </a:stretch>
      </xdr:blipFill>
      <xdr:spPr>
        <a:xfrm>
          <a:off x="0" y="0"/>
          <a:ext cx="0" cy="0"/>
        </a:xfrm>
        <a:prstGeom prst="rect">
          <a:avLst/>
        </a:prstGeom>
      </xdr:spPr>
    </xdr:pic>
    <xdr:clientData fLocksWithSheet="0"/>
  </xdr:twoCellAnchor>
  <xdr:twoCellAnchor>
    <xdr:from>
      <xdr:col>50</xdr:col>
      <xdr:colOff>38100</xdr:colOff>
      <xdr:row>50</xdr:row>
      <xdr:rowOff>38100</xdr:rowOff>
    </xdr:from>
    <xdr:to>
      <xdr:col>51</xdr:col>
      <xdr:colOff>-38100</xdr:colOff>
      <xdr:row>51</xdr:row>
      <xdr:rowOff>-38100</xdr:rowOff>
    </xdr:to>
    <xdr:pic>
      <xdr:nvPicPr>
        <xdr:cNvPr id="10" name="Picture 10" descr="ZJFIww">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9"/>
        <a:stretch>
          <a:fillRect/>
        </a:stretch>
      </xdr:blipFill>
      <xdr:spPr>
        <a:xfrm>
          <a:off x="0" y="0"/>
          <a:ext cx="0" cy="0"/>
        </a:xfrm>
        <a:prstGeom prst="rect">
          <a:avLst/>
        </a:prstGeom>
      </xdr:spPr>
    </xdr:pic>
    <xdr:clientData fLocksWithSheet="0"/>
  </xdr:twoCellAnchor>
  <xdr:twoCellAnchor>
    <xdr:from>
      <xdr:col>10</xdr:col>
      <xdr:colOff>38100</xdr:colOff>
      <xdr:row>50</xdr:row>
      <xdr:rowOff>38100</xdr:rowOff>
    </xdr:from>
    <xdr:to>
      <xdr:col>11</xdr:col>
      <xdr:colOff>-38100</xdr:colOff>
      <xdr:row>51</xdr:row>
      <xdr:rowOff>-38100</xdr:rowOff>
    </xdr:to>
    <xdr:pic>
      <xdr:nvPicPr>
        <xdr:cNvPr id="11" name="Picture 11" descr="SnCrSb">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10"/>
        <a:stretch>
          <a:fillRect/>
        </a:stretch>
      </xdr:blipFill>
      <xdr:spPr>
        <a:xfrm>
          <a:off x="0" y="0"/>
          <a:ext cx="0" cy="0"/>
        </a:xfrm>
        <a:prstGeom prst="rect">
          <a:avLst/>
        </a:prstGeom>
      </xdr:spPr>
    </xdr:pic>
    <xdr:clientData fLocksWithSheet="0"/>
  </xdr:twoCellAnchor>
  <xdr:twoCellAnchor>
    <xdr:from>
      <xdr:col>20</xdr:col>
      <xdr:colOff>38100</xdr:colOff>
      <xdr:row>50</xdr:row>
      <xdr:rowOff>38100</xdr:rowOff>
    </xdr:from>
    <xdr:to>
      <xdr:col>21</xdr:col>
      <xdr:colOff>-38100</xdr:colOff>
      <xdr:row>51</xdr:row>
      <xdr:rowOff>-38100</xdr:rowOff>
    </xdr:to>
    <xdr:pic>
      <xdr:nvPicPr>
        <xdr:cNvPr id="12" name="Picture 12" descr="WGaIBh">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11"/>
        <a:stretch>
          <a:fillRect/>
        </a:stretch>
      </xdr:blipFill>
      <xdr:spPr>
        <a:xfrm>
          <a:off x="0" y="0"/>
          <a:ext cx="0" cy="0"/>
        </a:xfrm>
        <a:prstGeom prst="rect">
          <a:avLst/>
        </a:prstGeom>
      </xdr:spPr>
    </xdr:pic>
    <xdr:clientData fLocksWithSheet="0"/>
  </xdr:twoCellAnchor>
  <xdr:twoCellAnchor>
    <xdr:from>
      <xdr:col>0</xdr:col>
      <xdr:colOff>38100</xdr:colOff>
      <xdr:row>50</xdr:row>
      <xdr:rowOff>38100</xdr:rowOff>
    </xdr:from>
    <xdr:to>
      <xdr:col>1</xdr:col>
      <xdr:colOff>-38100</xdr:colOff>
      <xdr:row>51</xdr:row>
      <xdr:rowOff>-38100</xdr:rowOff>
    </xdr:to>
    <xdr:pic>
      <xdr:nvPicPr>
        <xdr:cNvPr id="13" name="Picture 13" descr="emnlHX">
          <a:extLst>
            <a:ext uri="{FF2B5EF4-FFF2-40B4-BE49-F238E27FC236}">
              <a16:creationId xmlns:a16="http://schemas.microsoft.com/office/drawing/2014/main" id="{00000000-0008-0000-0000-00000D000000}"/>
            </a:ext>
          </a:extLst>
        </xdr:cNvPr>
        <xdr:cNvPicPr>
          <a:picLocks/>
        </xdr:cNvPicPr>
      </xdr:nvPicPr>
      <xdr:blipFill>
        <a:blip xmlns:r="http://schemas.openxmlformats.org/officeDocument/2006/relationships" r:embed="rId12"/>
        <a:stretch>
          <a:fillRect/>
        </a:stretch>
      </xdr:blipFill>
      <xdr:spPr>
        <a:xfrm>
          <a:off x="0" y="0"/>
          <a:ext cx="0" cy="0"/>
        </a:xfrm>
        <a:prstGeom prst="rect">
          <a:avLst/>
        </a:prstGeom>
      </xdr:spPr>
    </xdr:pic>
    <xdr:clientData fLocksWithSheet="0"/>
  </xdr:twoCellAnchor>
  <xdr:twoCellAnchor>
    <xdr:from>
      <xdr:col>30</xdr:col>
      <xdr:colOff>38100</xdr:colOff>
      <xdr:row>62</xdr:row>
      <xdr:rowOff>38100</xdr:rowOff>
    </xdr:from>
    <xdr:to>
      <xdr:col>31</xdr:col>
      <xdr:colOff>-38100</xdr:colOff>
      <xdr:row>63</xdr:row>
      <xdr:rowOff>-38100</xdr:rowOff>
    </xdr:to>
    <xdr:pic>
      <xdr:nvPicPr>
        <xdr:cNvPr id="14" name="Picture 14" descr="JEBSJe">
          <a:extLst>
            <a:ext uri="{FF2B5EF4-FFF2-40B4-BE49-F238E27FC236}">
              <a16:creationId xmlns:a16="http://schemas.microsoft.com/office/drawing/2014/main" id="{00000000-0008-0000-0000-00000E000000}"/>
            </a:ext>
          </a:extLst>
        </xdr:cNvPr>
        <xdr:cNvPicPr>
          <a:picLocks/>
        </xdr:cNvPicPr>
      </xdr:nvPicPr>
      <xdr:blipFill>
        <a:blip xmlns:r="http://schemas.openxmlformats.org/officeDocument/2006/relationships" r:embed="rId13"/>
        <a:stretch>
          <a:fillRect/>
        </a:stretch>
      </xdr:blipFill>
      <xdr:spPr>
        <a:xfrm>
          <a:off x="0" y="0"/>
          <a:ext cx="0" cy="0"/>
        </a:xfrm>
        <a:prstGeom prst="rect">
          <a:avLst/>
        </a:prstGeom>
      </xdr:spPr>
    </xdr:pic>
    <xdr:clientData fLocksWithSheet="0"/>
  </xdr:twoCellAnchor>
  <xdr:twoCellAnchor>
    <xdr:from>
      <xdr:col>50</xdr:col>
      <xdr:colOff>38100</xdr:colOff>
      <xdr:row>62</xdr:row>
      <xdr:rowOff>38100</xdr:rowOff>
    </xdr:from>
    <xdr:to>
      <xdr:col>51</xdr:col>
      <xdr:colOff>-38100</xdr:colOff>
      <xdr:row>63</xdr:row>
      <xdr:rowOff>-38100</xdr:rowOff>
    </xdr:to>
    <xdr:pic>
      <xdr:nvPicPr>
        <xdr:cNvPr id="15" name="Picture 15" descr="uWuLxS">
          <a:extLst>
            <a:ext uri="{FF2B5EF4-FFF2-40B4-BE49-F238E27FC236}">
              <a16:creationId xmlns:a16="http://schemas.microsoft.com/office/drawing/2014/main" id="{00000000-0008-0000-0000-00000F000000}"/>
            </a:ext>
          </a:extLst>
        </xdr:cNvPr>
        <xdr:cNvPicPr>
          <a:picLocks/>
        </xdr:cNvPicPr>
      </xdr:nvPicPr>
      <xdr:blipFill>
        <a:blip xmlns:r="http://schemas.openxmlformats.org/officeDocument/2006/relationships" r:embed="rId14"/>
        <a:stretch>
          <a:fillRect/>
        </a:stretch>
      </xdr:blipFill>
      <xdr:spPr>
        <a:xfrm>
          <a:off x="0" y="0"/>
          <a:ext cx="0" cy="0"/>
        </a:xfrm>
        <a:prstGeom prst="rect">
          <a:avLst/>
        </a:prstGeom>
      </xdr:spPr>
    </xdr:pic>
    <xdr:clientData fLocksWithSheet="0"/>
  </xdr:twoCellAnchor>
  <xdr:twoCellAnchor>
    <xdr:from>
      <xdr:col>10</xdr:col>
      <xdr:colOff>38100</xdr:colOff>
      <xdr:row>62</xdr:row>
      <xdr:rowOff>38100</xdr:rowOff>
    </xdr:from>
    <xdr:to>
      <xdr:col>11</xdr:col>
      <xdr:colOff>-38100</xdr:colOff>
      <xdr:row>63</xdr:row>
      <xdr:rowOff>-38100</xdr:rowOff>
    </xdr:to>
    <xdr:pic>
      <xdr:nvPicPr>
        <xdr:cNvPr id="16" name="Picture 16" descr="UOeSwx">
          <a:extLst>
            <a:ext uri="{FF2B5EF4-FFF2-40B4-BE49-F238E27FC236}">
              <a16:creationId xmlns:a16="http://schemas.microsoft.com/office/drawing/2014/main" id="{00000000-0008-0000-0000-000010000000}"/>
            </a:ext>
          </a:extLst>
        </xdr:cNvPr>
        <xdr:cNvPicPr>
          <a:picLocks/>
        </xdr:cNvPicPr>
      </xdr:nvPicPr>
      <xdr:blipFill>
        <a:blip xmlns:r="http://schemas.openxmlformats.org/officeDocument/2006/relationships" r:embed="rId15"/>
        <a:stretch>
          <a:fillRect/>
        </a:stretch>
      </xdr:blipFill>
      <xdr:spPr>
        <a:xfrm>
          <a:off x="0" y="0"/>
          <a:ext cx="0" cy="0"/>
        </a:xfrm>
        <a:prstGeom prst="rect">
          <a:avLst/>
        </a:prstGeom>
      </xdr:spPr>
    </xdr:pic>
    <xdr:clientData fLocksWithSheet="0"/>
  </xdr:twoCellAnchor>
  <xdr:twoCellAnchor>
    <xdr:from>
      <xdr:col>40</xdr:col>
      <xdr:colOff>38100</xdr:colOff>
      <xdr:row>62</xdr:row>
      <xdr:rowOff>38100</xdr:rowOff>
    </xdr:from>
    <xdr:to>
      <xdr:col>41</xdr:col>
      <xdr:colOff>-38100</xdr:colOff>
      <xdr:row>63</xdr:row>
      <xdr:rowOff>-38100</xdr:rowOff>
    </xdr:to>
    <xdr:pic>
      <xdr:nvPicPr>
        <xdr:cNvPr id="17" name="Picture 17" descr="RWjTxR">
          <a:extLst>
            <a:ext uri="{FF2B5EF4-FFF2-40B4-BE49-F238E27FC236}">
              <a16:creationId xmlns:a16="http://schemas.microsoft.com/office/drawing/2014/main" id="{00000000-0008-0000-0000-000011000000}"/>
            </a:ext>
          </a:extLst>
        </xdr:cNvPr>
        <xdr:cNvPicPr>
          <a:picLocks/>
        </xdr:cNvPicPr>
      </xdr:nvPicPr>
      <xdr:blipFill>
        <a:blip xmlns:r="http://schemas.openxmlformats.org/officeDocument/2006/relationships" r:embed="rId16"/>
        <a:stretch>
          <a:fillRect/>
        </a:stretch>
      </xdr:blipFill>
      <xdr:spPr>
        <a:xfrm>
          <a:off x="0" y="0"/>
          <a:ext cx="0" cy="0"/>
        </a:xfrm>
        <a:prstGeom prst="rect">
          <a:avLst/>
        </a:prstGeom>
      </xdr:spPr>
    </xdr:pic>
    <xdr:clientData fLocksWithSheet="0"/>
  </xdr:twoCellAnchor>
  <xdr:twoCellAnchor>
    <xdr:from>
      <xdr:col>0</xdr:col>
      <xdr:colOff>38100</xdr:colOff>
      <xdr:row>62</xdr:row>
      <xdr:rowOff>38100</xdr:rowOff>
    </xdr:from>
    <xdr:to>
      <xdr:col>1</xdr:col>
      <xdr:colOff>-38100</xdr:colOff>
      <xdr:row>63</xdr:row>
      <xdr:rowOff>-38100</xdr:rowOff>
    </xdr:to>
    <xdr:pic>
      <xdr:nvPicPr>
        <xdr:cNvPr id="18" name="Picture 18" descr="oQyNMh">
          <a:extLst>
            <a:ext uri="{FF2B5EF4-FFF2-40B4-BE49-F238E27FC236}">
              <a16:creationId xmlns:a16="http://schemas.microsoft.com/office/drawing/2014/main" id="{00000000-0008-0000-0000-000012000000}"/>
            </a:ext>
          </a:extLst>
        </xdr:cNvPr>
        <xdr:cNvPicPr>
          <a:picLocks/>
        </xdr:cNvPicPr>
      </xdr:nvPicPr>
      <xdr:blipFill>
        <a:blip xmlns:r="http://schemas.openxmlformats.org/officeDocument/2006/relationships" r:embed="rId17"/>
        <a:stretch>
          <a:fillRect/>
        </a:stretch>
      </xdr:blipFill>
      <xdr:spPr>
        <a:xfrm>
          <a:off x="0" y="0"/>
          <a:ext cx="0" cy="0"/>
        </a:xfrm>
        <a:prstGeom prst="rect">
          <a:avLst/>
        </a:prstGeom>
      </xdr:spPr>
    </xdr:pic>
    <xdr:clientData fLocksWithSheet="0"/>
  </xdr:twoCellAnchor>
  <xdr:twoCellAnchor>
    <xdr:from>
      <xdr:col>20</xdr:col>
      <xdr:colOff>38100</xdr:colOff>
      <xdr:row>62</xdr:row>
      <xdr:rowOff>38100</xdr:rowOff>
    </xdr:from>
    <xdr:to>
      <xdr:col>21</xdr:col>
      <xdr:colOff>-38100</xdr:colOff>
      <xdr:row>63</xdr:row>
      <xdr:rowOff>-38100</xdr:rowOff>
    </xdr:to>
    <xdr:pic>
      <xdr:nvPicPr>
        <xdr:cNvPr id="19" name="Picture 19" descr="jMaRoY">
          <a:extLst>
            <a:ext uri="{FF2B5EF4-FFF2-40B4-BE49-F238E27FC236}">
              <a16:creationId xmlns:a16="http://schemas.microsoft.com/office/drawing/2014/main" id="{00000000-0008-0000-0000-000013000000}"/>
            </a:ext>
          </a:extLst>
        </xdr:cNvPr>
        <xdr:cNvPicPr>
          <a:picLocks/>
        </xdr:cNvPicPr>
      </xdr:nvPicPr>
      <xdr:blipFill>
        <a:blip xmlns:r="http://schemas.openxmlformats.org/officeDocument/2006/relationships" r:embed="rId18"/>
        <a:stretch>
          <a:fillRect/>
        </a:stretch>
      </xdr:blipFill>
      <xdr:spPr>
        <a:xfrm>
          <a:off x="0" y="0"/>
          <a:ext cx="0" cy="0"/>
        </a:xfrm>
        <a:prstGeom prst="rect">
          <a:avLst/>
        </a:prstGeom>
      </xdr:spPr>
    </xdr:pic>
    <xdr:clientData fLocksWithSheet="0"/>
  </xdr:twoCellAnchor>
  <xdr:twoCellAnchor>
    <xdr:from>
      <xdr:col>40</xdr:col>
      <xdr:colOff>38100</xdr:colOff>
      <xdr:row>92</xdr:row>
      <xdr:rowOff>38100</xdr:rowOff>
    </xdr:from>
    <xdr:to>
      <xdr:col>41</xdr:col>
      <xdr:colOff>-38100</xdr:colOff>
      <xdr:row>93</xdr:row>
      <xdr:rowOff>-38100</xdr:rowOff>
    </xdr:to>
    <xdr:pic>
      <xdr:nvPicPr>
        <xdr:cNvPr id="20" name="Picture 20" descr="vSuOZr">
          <a:extLst>
            <a:ext uri="{FF2B5EF4-FFF2-40B4-BE49-F238E27FC236}">
              <a16:creationId xmlns:a16="http://schemas.microsoft.com/office/drawing/2014/main" id="{00000000-0008-0000-0000-000014000000}"/>
            </a:ext>
          </a:extLst>
        </xdr:cNvPr>
        <xdr:cNvPicPr>
          <a:picLocks/>
        </xdr:cNvPicPr>
      </xdr:nvPicPr>
      <xdr:blipFill>
        <a:blip xmlns:r="http://schemas.openxmlformats.org/officeDocument/2006/relationships" r:embed="rId19"/>
        <a:stretch>
          <a:fillRect/>
        </a:stretch>
      </xdr:blipFill>
      <xdr:spPr>
        <a:xfrm>
          <a:off x="0" y="0"/>
          <a:ext cx="0" cy="0"/>
        </a:xfrm>
        <a:prstGeom prst="rect">
          <a:avLst/>
        </a:prstGeom>
      </xdr:spPr>
    </xdr:pic>
    <xdr:clientData fLocksWithSheet="0"/>
  </xdr:twoCellAnchor>
  <xdr:twoCellAnchor>
    <xdr:from>
      <xdr:col>0</xdr:col>
      <xdr:colOff>38100</xdr:colOff>
      <xdr:row>92</xdr:row>
      <xdr:rowOff>38100</xdr:rowOff>
    </xdr:from>
    <xdr:to>
      <xdr:col>1</xdr:col>
      <xdr:colOff>-38100</xdr:colOff>
      <xdr:row>93</xdr:row>
      <xdr:rowOff>-38100</xdr:rowOff>
    </xdr:to>
    <xdr:pic>
      <xdr:nvPicPr>
        <xdr:cNvPr id="21" name="Picture 21" descr="lEUthe">
          <a:extLst>
            <a:ext uri="{FF2B5EF4-FFF2-40B4-BE49-F238E27FC236}">
              <a16:creationId xmlns:a16="http://schemas.microsoft.com/office/drawing/2014/main" id="{00000000-0008-0000-0000-000015000000}"/>
            </a:ext>
          </a:extLst>
        </xdr:cNvPr>
        <xdr:cNvPicPr>
          <a:picLocks/>
        </xdr:cNvPicPr>
      </xdr:nvPicPr>
      <xdr:blipFill>
        <a:blip xmlns:r="http://schemas.openxmlformats.org/officeDocument/2006/relationships" r:embed="rId20"/>
        <a:stretch>
          <a:fillRect/>
        </a:stretch>
      </xdr:blipFill>
      <xdr:spPr>
        <a:xfrm>
          <a:off x="0" y="0"/>
          <a:ext cx="0" cy="0"/>
        </a:xfrm>
        <a:prstGeom prst="rect">
          <a:avLst/>
        </a:prstGeom>
      </xdr:spPr>
    </xdr:pic>
    <xdr:clientData fLocksWithSheet="0"/>
  </xdr:twoCellAnchor>
  <xdr:twoCellAnchor>
    <xdr:from>
      <xdr:col>50</xdr:col>
      <xdr:colOff>38100</xdr:colOff>
      <xdr:row>92</xdr:row>
      <xdr:rowOff>38100</xdr:rowOff>
    </xdr:from>
    <xdr:to>
      <xdr:col>51</xdr:col>
      <xdr:colOff>-38100</xdr:colOff>
      <xdr:row>93</xdr:row>
      <xdr:rowOff>-38100</xdr:rowOff>
    </xdr:to>
    <xdr:pic>
      <xdr:nvPicPr>
        <xdr:cNvPr id="22" name="Picture 22" descr="clryMl">
          <a:extLst>
            <a:ext uri="{FF2B5EF4-FFF2-40B4-BE49-F238E27FC236}">
              <a16:creationId xmlns:a16="http://schemas.microsoft.com/office/drawing/2014/main" id="{00000000-0008-0000-0000-000016000000}"/>
            </a:ext>
          </a:extLst>
        </xdr:cNvPr>
        <xdr:cNvPicPr>
          <a:picLocks/>
        </xdr:cNvPicPr>
      </xdr:nvPicPr>
      <xdr:blipFill>
        <a:blip xmlns:r="http://schemas.openxmlformats.org/officeDocument/2006/relationships" r:embed="rId21"/>
        <a:stretch>
          <a:fillRect/>
        </a:stretch>
      </xdr:blipFill>
      <xdr:spPr>
        <a:xfrm>
          <a:off x="0" y="0"/>
          <a:ext cx="0" cy="0"/>
        </a:xfrm>
        <a:prstGeom prst="rect">
          <a:avLst/>
        </a:prstGeom>
      </xdr:spPr>
    </xdr:pic>
    <xdr:clientData fLocksWithSheet="0"/>
  </xdr:twoCellAnchor>
  <xdr:twoCellAnchor>
    <xdr:from>
      <xdr:col>10</xdr:col>
      <xdr:colOff>38100</xdr:colOff>
      <xdr:row>92</xdr:row>
      <xdr:rowOff>38100</xdr:rowOff>
    </xdr:from>
    <xdr:to>
      <xdr:col>11</xdr:col>
      <xdr:colOff>-38100</xdr:colOff>
      <xdr:row>93</xdr:row>
      <xdr:rowOff>-38100</xdr:rowOff>
    </xdr:to>
    <xdr:pic>
      <xdr:nvPicPr>
        <xdr:cNvPr id="23" name="Picture 23" descr="ECEZEB">
          <a:extLst>
            <a:ext uri="{FF2B5EF4-FFF2-40B4-BE49-F238E27FC236}">
              <a16:creationId xmlns:a16="http://schemas.microsoft.com/office/drawing/2014/main" id="{00000000-0008-0000-0000-000017000000}"/>
            </a:ext>
          </a:extLst>
        </xdr:cNvPr>
        <xdr:cNvPicPr>
          <a:picLocks/>
        </xdr:cNvPicPr>
      </xdr:nvPicPr>
      <xdr:blipFill>
        <a:blip xmlns:r="http://schemas.openxmlformats.org/officeDocument/2006/relationships" r:embed="rId22"/>
        <a:stretch>
          <a:fillRect/>
        </a:stretch>
      </xdr:blipFill>
      <xdr:spPr>
        <a:xfrm>
          <a:off x="0" y="0"/>
          <a:ext cx="0" cy="0"/>
        </a:xfrm>
        <a:prstGeom prst="rect">
          <a:avLst/>
        </a:prstGeom>
      </xdr:spPr>
    </xdr:pic>
    <xdr:clientData fLocksWithSheet="0"/>
  </xdr:twoCellAnchor>
  <xdr:twoCellAnchor>
    <xdr:from>
      <xdr:col>20</xdr:col>
      <xdr:colOff>38100</xdr:colOff>
      <xdr:row>92</xdr:row>
      <xdr:rowOff>38100</xdr:rowOff>
    </xdr:from>
    <xdr:to>
      <xdr:col>21</xdr:col>
      <xdr:colOff>-38100</xdr:colOff>
      <xdr:row>93</xdr:row>
      <xdr:rowOff>-38100</xdr:rowOff>
    </xdr:to>
    <xdr:pic>
      <xdr:nvPicPr>
        <xdr:cNvPr id="24" name="Picture 24" descr="qPfYZf">
          <a:extLst>
            <a:ext uri="{FF2B5EF4-FFF2-40B4-BE49-F238E27FC236}">
              <a16:creationId xmlns:a16="http://schemas.microsoft.com/office/drawing/2014/main" id="{00000000-0008-0000-0000-000018000000}"/>
            </a:ext>
          </a:extLst>
        </xdr:cNvPr>
        <xdr:cNvPicPr>
          <a:picLocks/>
        </xdr:cNvPicPr>
      </xdr:nvPicPr>
      <xdr:blipFill>
        <a:blip xmlns:r="http://schemas.openxmlformats.org/officeDocument/2006/relationships" r:embed="rId23"/>
        <a:stretch>
          <a:fillRect/>
        </a:stretch>
      </xdr:blipFill>
      <xdr:spPr>
        <a:xfrm>
          <a:off x="0" y="0"/>
          <a:ext cx="0" cy="0"/>
        </a:xfrm>
        <a:prstGeom prst="rect">
          <a:avLst/>
        </a:prstGeom>
      </xdr:spPr>
    </xdr:pic>
    <xdr:clientData fLocksWithSheet="0"/>
  </xdr:twoCellAnchor>
  <xdr:twoCellAnchor>
    <xdr:from>
      <xdr:col>0</xdr:col>
      <xdr:colOff>38100</xdr:colOff>
      <xdr:row>8</xdr:row>
      <xdr:rowOff>38100</xdr:rowOff>
    </xdr:from>
    <xdr:to>
      <xdr:col>1</xdr:col>
      <xdr:colOff>-38100</xdr:colOff>
      <xdr:row>9</xdr:row>
      <xdr:rowOff>-38100</xdr:rowOff>
    </xdr:to>
    <xdr:pic>
      <xdr:nvPicPr>
        <xdr:cNvPr id="25" name="Picture 25" descr="VGVfJR">
          <a:extLst>
            <a:ext uri="{FF2B5EF4-FFF2-40B4-BE49-F238E27FC236}">
              <a16:creationId xmlns:a16="http://schemas.microsoft.com/office/drawing/2014/main" id="{00000000-0008-0000-0000-000019000000}"/>
            </a:ext>
          </a:extLst>
        </xdr:cNvPr>
        <xdr:cNvPicPr>
          <a:picLocks/>
        </xdr:cNvPicPr>
      </xdr:nvPicPr>
      <xdr:blipFill>
        <a:blip xmlns:r="http://schemas.openxmlformats.org/officeDocument/2006/relationships" r:embed="rId24"/>
        <a:stretch>
          <a:fillRect/>
        </a:stretch>
      </xdr:blipFill>
      <xdr:spPr>
        <a:xfrm>
          <a:off x="0" y="0"/>
          <a:ext cx="0" cy="0"/>
        </a:xfrm>
        <a:prstGeom prst="rect">
          <a:avLst/>
        </a:prstGeom>
      </xdr:spPr>
    </xdr:pic>
    <xdr:clientData fLocksWithSheet="0"/>
  </xdr:twoCellAnchor>
  <xdr:twoCellAnchor>
    <xdr:from>
      <xdr:col>40</xdr:col>
      <xdr:colOff>38100</xdr:colOff>
      <xdr:row>8</xdr:row>
      <xdr:rowOff>38100</xdr:rowOff>
    </xdr:from>
    <xdr:to>
      <xdr:col>41</xdr:col>
      <xdr:colOff>-38100</xdr:colOff>
      <xdr:row>9</xdr:row>
      <xdr:rowOff>-38100</xdr:rowOff>
    </xdr:to>
    <xdr:pic>
      <xdr:nvPicPr>
        <xdr:cNvPr id="26" name="Picture 26" descr="DsZFgM">
          <a:extLst>
            <a:ext uri="{FF2B5EF4-FFF2-40B4-BE49-F238E27FC236}">
              <a16:creationId xmlns:a16="http://schemas.microsoft.com/office/drawing/2014/main" id="{00000000-0008-0000-0000-00001A000000}"/>
            </a:ext>
          </a:extLst>
        </xdr:cNvPr>
        <xdr:cNvPicPr>
          <a:picLocks/>
        </xdr:cNvPicPr>
      </xdr:nvPicPr>
      <xdr:blipFill>
        <a:blip xmlns:r="http://schemas.openxmlformats.org/officeDocument/2006/relationships" r:embed="rId25"/>
        <a:stretch>
          <a:fillRect/>
        </a:stretch>
      </xdr:blipFill>
      <xdr:spPr>
        <a:xfrm>
          <a:off x="0" y="0"/>
          <a:ext cx="0" cy="0"/>
        </a:xfrm>
        <a:prstGeom prst="rect">
          <a:avLst/>
        </a:prstGeom>
      </xdr:spPr>
    </xdr:pic>
    <xdr:clientData fLocksWithSheet="0"/>
  </xdr:twoCellAnchor>
  <xdr:twoCellAnchor>
    <xdr:from>
      <xdr:col>50</xdr:col>
      <xdr:colOff>38100</xdr:colOff>
      <xdr:row>8</xdr:row>
      <xdr:rowOff>38100</xdr:rowOff>
    </xdr:from>
    <xdr:to>
      <xdr:col>51</xdr:col>
      <xdr:colOff>-38100</xdr:colOff>
      <xdr:row>9</xdr:row>
      <xdr:rowOff>-38100</xdr:rowOff>
    </xdr:to>
    <xdr:pic>
      <xdr:nvPicPr>
        <xdr:cNvPr id="27" name="Picture 27" descr="XmOlUd">
          <a:extLst>
            <a:ext uri="{FF2B5EF4-FFF2-40B4-BE49-F238E27FC236}">
              <a16:creationId xmlns:a16="http://schemas.microsoft.com/office/drawing/2014/main" id="{00000000-0008-0000-0000-00001B000000}"/>
            </a:ext>
          </a:extLst>
        </xdr:cNvPr>
        <xdr:cNvPicPr>
          <a:picLocks/>
        </xdr:cNvPicPr>
      </xdr:nvPicPr>
      <xdr:blipFill>
        <a:blip xmlns:r="http://schemas.openxmlformats.org/officeDocument/2006/relationships" r:embed="rId26"/>
        <a:stretch>
          <a:fillRect/>
        </a:stretch>
      </xdr:blipFill>
      <xdr:spPr>
        <a:xfrm>
          <a:off x="0" y="0"/>
          <a:ext cx="0" cy="0"/>
        </a:xfrm>
        <a:prstGeom prst="rect">
          <a:avLst/>
        </a:prstGeom>
      </xdr:spPr>
    </xdr:pic>
    <xdr:clientData fLocksWithSheet="0"/>
  </xdr:twoCellAnchor>
  <xdr:twoCellAnchor>
    <xdr:from>
      <xdr:col>20</xdr:col>
      <xdr:colOff>38100</xdr:colOff>
      <xdr:row>8</xdr:row>
      <xdr:rowOff>38100</xdr:rowOff>
    </xdr:from>
    <xdr:to>
      <xdr:col>21</xdr:col>
      <xdr:colOff>-38100</xdr:colOff>
      <xdr:row>9</xdr:row>
      <xdr:rowOff>-38100</xdr:rowOff>
    </xdr:to>
    <xdr:pic>
      <xdr:nvPicPr>
        <xdr:cNvPr id="28" name="Picture 28" descr="KIogyk">
          <a:extLst>
            <a:ext uri="{FF2B5EF4-FFF2-40B4-BE49-F238E27FC236}">
              <a16:creationId xmlns:a16="http://schemas.microsoft.com/office/drawing/2014/main" id="{00000000-0008-0000-0000-00001C000000}"/>
            </a:ext>
          </a:extLst>
        </xdr:cNvPr>
        <xdr:cNvPicPr>
          <a:picLocks/>
        </xdr:cNvPicPr>
      </xdr:nvPicPr>
      <xdr:blipFill>
        <a:blip xmlns:r="http://schemas.openxmlformats.org/officeDocument/2006/relationships" r:embed="rId27"/>
        <a:stretch>
          <a:fillRect/>
        </a:stretch>
      </xdr:blipFill>
      <xdr:spPr>
        <a:xfrm>
          <a:off x="0" y="0"/>
          <a:ext cx="0" cy="0"/>
        </a:xfrm>
        <a:prstGeom prst="rect">
          <a:avLst/>
        </a:prstGeom>
      </xdr:spPr>
    </xdr:pic>
    <xdr:clientData fLocksWithSheet="0"/>
  </xdr:twoCellAnchor>
  <xdr:twoCellAnchor>
    <xdr:from>
      <xdr:col>30</xdr:col>
      <xdr:colOff>38100</xdr:colOff>
      <xdr:row>8</xdr:row>
      <xdr:rowOff>38100</xdr:rowOff>
    </xdr:from>
    <xdr:to>
      <xdr:col>31</xdr:col>
      <xdr:colOff>-38100</xdr:colOff>
      <xdr:row>9</xdr:row>
      <xdr:rowOff>-38100</xdr:rowOff>
    </xdr:to>
    <xdr:pic>
      <xdr:nvPicPr>
        <xdr:cNvPr id="29" name="Picture 29" descr="lHbCXV">
          <a:extLst>
            <a:ext uri="{FF2B5EF4-FFF2-40B4-BE49-F238E27FC236}">
              <a16:creationId xmlns:a16="http://schemas.microsoft.com/office/drawing/2014/main" id="{00000000-0008-0000-0000-00001D000000}"/>
            </a:ext>
          </a:extLst>
        </xdr:cNvPr>
        <xdr:cNvPicPr>
          <a:picLocks/>
        </xdr:cNvPicPr>
      </xdr:nvPicPr>
      <xdr:blipFill>
        <a:blip xmlns:r="http://schemas.openxmlformats.org/officeDocument/2006/relationships" r:embed="rId28"/>
        <a:stretch>
          <a:fillRect/>
        </a:stretch>
      </xdr:blipFill>
      <xdr:spPr>
        <a:xfrm>
          <a:off x="0" y="0"/>
          <a:ext cx="0" cy="0"/>
        </a:xfrm>
        <a:prstGeom prst="rect">
          <a:avLst/>
        </a:prstGeom>
      </xdr:spPr>
    </xdr:pic>
    <xdr:clientData fLocksWithSheet="0"/>
  </xdr:twoCellAnchor>
  <xdr:twoCellAnchor>
    <xdr:from>
      <xdr:col>10</xdr:col>
      <xdr:colOff>38100</xdr:colOff>
      <xdr:row>8</xdr:row>
      <xdr:rowOff>38100</xdr:rowOff>
    </xdr:from>
    <xdr:to>
      <xdr:col>11</xdr:col>
      <xdr:colOff>-38100</xdr:colOff>
      <xdr:row>9</xdr:row>
      <xdr:rowOff>-38100</xdr:rowOff>
    </xdr:to>
    <xdr:pic>
      <xdr:nvPicPr>
        <xdr:cNvPr id="30" name="Picture 30" descr="ROxZJs">
          <a:extLst>
            <a:ext uri="{FF2B5EF4-FFF2-40B4-BE49-F238E27FC236}">
              <a16:creationId xmlns:a16="http://schemas.microsoft.com/office/drawing/2014/main" id="{00000000-0008-0000-0000-00001E000000}"/>
            </a:ext>
          </a:extLst>
        </xdr:cNvPr>
        <xdr:cNvPicPr>
          <a:picLocks/>
        </xdr:cNvPicPr>
      </xdr:nvPicPr>
      <xdr:blipFill>
        <a:blip xmlns:r="http://schemas.openxmlformats.org/officeDocument/2006/relationships" r:embed="rId29"/>
        <a:stretch>
          <a:fillRect/>
        </a:stretch>
      </xdr:blipFill>
      <xdr:spPr>
        <a:xfrm>
          <a:off x="0" y="0"/>
          <a:ext cx="0" cy="0"/>
        </a:xfrm>
        <a:prstGeom prst="rect">
          <a:avLst/>
        </a:prstGeom>
      </xdr:spPr>
    </xdr:pic>
    <xdr:clientData fLocksWithSheet="0"/>
  </xdr:twoCellAnchor>
  <xdr:twoCellAnchor>
    <xdr:from>
      <xdr:col>20</xdr:col>
      <xdr:colOff>38100</xdr:colOff>
      <xdr:row>38</xdr:row>
      <xdr:rowOff>38100</xdr:rowOff>
    </xdr:from>
    <xdr:to>
      <xdr:col>21</xdr:col>
      <xdr:colOff>-38100</xdr:colOff>
      <xdr:row>39</xdr:row>
      <xdr:rowOff>-38100</xdr:rowOff>
    </xdr:to>
    <xdr:pic>
      <xdr:nvPicPr>
        <xdr:cNvPr id="31" name="Picture 31" descr="yyxbAA">
          <a:extLst>
            <a:ext uri="{FF2B5EF4-FFF2-40B4-BE49-F238E27FC236}">
              <a16:creationId xmlns:a16="http://schemas.microsoft.com/office/drawing/2014/main" id="{00000000-0008-0000-0000-00001F000000}"/>
            </a:ext>
          </a:extLst>
        </xdr:cNvPr>
        <xdr:cNvPicPr>
          <a:picLocks/>
        </xdr:cNvPicPr>
      </xdr:nvPicPr>
      <xdr:blipFill>
        <a:blip xmlns:r="http://schemas.openxmlformats.org/officeDocument/2006/relationships" r:embed="rId30"/>
        <a:stretch>
          <a:fillRect/>
        </a:stretch>
      </xdr:blipFill>
      <xdr:spPr>
        <a:xfrm>
          <a:off x="0" y="0"/>
          <a:ext cx="0" cy="0"/>
        </a:xfrm>
        <a:prstGeom prst="rect">
          <a:avLst/>
        </a:prstGeom>
      </xdr:spPr>
    </xdr:pic>
    <xdr:clientData fLocksWithSheet="0"/>
  </xdr:twoCellAnchor>
  <xdr:twoCellAnchor>
    <xdr:from>
      <xdr:col>30</xdr:col>
      <xdr:colOff>38100</xdr:colOff>
      <xdr:row>38</xdr:row>
      <xdr:rowOff>38100</xdr:rowOff>
    </xdr:from>
    <xdr:to>
      <xdr:col>31</xdr:col>
      <xdr:colOff>-38100</xdr:colOff>
      <xdr:row>39</xdr:row>
      <xdr:rowOff>-38100</xdr:rowOff>
    </xdr:to>
    <xdr:pic>
      <xdr:nvPicPr>
        <xdr:cNvPr id="32" name="Picture 32" descr="EhbHnf">
          <a:extLst>
            <a:ext uri="{FF2B5EF4-FFF2-40B4-BE49-F238E27FC236}">
              <a16:creationId xmlns:a16="http://schemas.microsoft.com/office/drawing/2014/main" id="{00000000-0008-0000-0000-000020000000}"/>
            </a:ext>
          </a:extLst>
        </xdr:cNvPr>
        <xdr:cNvPicPr>
          <a:picLocks/>
        </xdr:cNvPicPr>
      </xdr:nvPicPr>
      <xdr:blipFill>
        <a:blip xmlns:r="http://schemas.openxmlformats.org/officeDocument/2006/relationships" r:embed="rId31"/>
        <a:stretch>
          <a:fillRect/>
        </a:stretch>
      </xdr:blipFill>
      <xdr:spPr>
        <a:xfrm>
          <a:off x="0" y="0"/>
          <a:ext cx="0" cy="0"/>
        </a:xfrm>
        <a:prstGeom prst="rect">
          <a:avLst/>
        </a:prstGeom>
      </xdr:spPr>
    </xdr:pic>
    <xdr:clientData fLocksWithSheet="0"/>
  </xdr:twoCellAnchor>
  <xdr:twoCellAnchor>
    <xdr:from>
      <xdr:col>10</xdr:col>
      <xdr:colOff>38100</xdr:colOff>
      <xdr:row>38</xdr:row>
      <xdr:rowOff>38100</xdr:rowOff>
    </xdr:from>
    <xdr:to>
      <xdr:col>11</xdr:col>
      <xdr:colOff>-38100</xdr:colOff>
      <xdr:row>39</xdr:row>
      <xdr:rowOff>-38100</xdr:rowOff>
    </xdr:to>
    <xdr:pic>
      <xdr:nvPicPr>
        <xdr:cNvPr id="33" name="Picture 33" descr="dTFzmO">
          <a:extLst>
            <a:ext uri="{FF2B5EF4-FFF2-40B4-BE49-F238E27FC236}">
              <a16:creationId xmlns:a16="http://schemas.microsoft.com/office/drawing/2014/main" id="{00000000-0008-0000-0000-000021000000}"/>
            </a:ext>
          </a:extLst>
        </xdr:cNvPr>
        <xdr:cNvPicPr>
          <a:picLocks/>
        </xdr:cNvPicPr>
      </xdr:nvPicPr>
      <xdr:blipFill>
        <a:blip xmlns:r="http://schemas.openxmlformats.org/officeDocument/2006/relationships" r:embed="rId32"/>
        <a:stretch>
          <a:fillRect/>
        </a:stretch>
      </xdr:blipFill>
      <xdr:spPr>
        <a:xfrm>
          <a:off x="0" y="0"/>
          <a:ext cx="0" cy="0"/>
        </a:xfrm>
        <a:prstGeom prst="rect">
          <a:avLst/>
        </a:prstGeom>
      </xdr:spPr>
    </xdr:pic>
    <xdr:clientData fLocksWithSheet="0"/>
  </xdr:twoCellAnchor>
  <xdr:twoCellAnchor>
    <xdr:from>
      <xdr:col>0</xdr:col>
      <xdr:colOff>38100</xdr:colOff>
      <xdr:row>38</xdr:row>
      <xdr:rowOff>38100</xdr:rowOff>
    </xdr:from>
    <xdr:to>
      <xdr:col>1</xdr:col>
      <xdr:colOff>-38100</xdr:colOff>
      <xdr:row>39</xdr:row>
      <xdr:rowOff>-38100</xdr:rowOff>
    </xdr:to>
    <xdr:pic>
      <xdr:nvPicPr>
        <xdr:cNvPr id="34" name="Picture 34" descr="FbeVwN">
          <a:extLst>
            <a:ext uri="{FF2B5EF4-FFF2-40B4-BE49-F238E27FC236}">
              <a16:creationId xmlns:a16="http://schemas.microsoft.com/office/drawing/2014/main" id="{00000000-0008-0000-0000-000022000000}"/>
            </a:ext>
          </a:extLst>
        </xdr:cNvPr>
        <xdr:cNvPicPr>
          <a:picLocks/>
        </xdr:cNvPicPr>
      </xdr:nvPicPr>
      <xdr:blipFill>
        <a:blip xmlns:r="http://schemas.openxmlformats.org/officeDocument/2006/relationships" r:embed="rId33"/>
        <a:stretch>
          <a:fillRect/>
        </a:stretch>
      </xdr:blipFill>
      <xdr:spPr>
        <a:xfrm>
          <a:off x="0" y="0"/>
          <a:ext cx="0" cy="0"/>
        </a:xfrm>
        <a:prstGeom prst="rect">
          <a:avLst/>
        </a:prstGeom>
      </xdr:spPr>
    </xdr:pic>
    <xdr:clientData fLocksWithSheet="0"/>
  </xdr:twoCellAnchor>
  <xdr:twoCellAnchor>
    <xdr:from>
      <xdr:col>50</xdr:col>
      <xdr:colOff>38100</xdr:colOff>
      <xdr:row>38</xdr:row>
      <xdr:rowOff>38100</xdr:rowOff>
    </xdr:from>
    <xdr:to>
      <xdr:col>51</xdr:col>
      <xdr:colOff>-38100</xdr:colOff>
      <xdr:row>39</xdr:row>
      <xdr:rowOff>-38100</xdr:rowOff>
    </xdr:to>
    <xdr:pic>
      <xdr:nvPicPr>
        <xdr:cNvPr id="35" name="Picture 35" descr="OsfPzS">
          <a:extLst>
            <a:ext uri="{FF2B5EF4-FFF2-40B4-BE49-F238E27FC236}">
              <a16:creationId xmlns:a16="http://schemas.microsoft.com/office/drawing/2014/main" id="{00000000-0008-0000-0000-000023000000}"/>
            </a:ext>
          </a:extLst>
        </xdr:cNvPr>
        <xdr:cNvPicPr>
          <a:picLocks/>
        </xdr:cNvPicPr>
      </xdr:nvPicPr>
      <xdr:blipFill>
        <a:blip xmlns:r="http://schemas.openxmlformats.org/officeDocument/2006/relationships" r:embed="rId34"/>
        <a:stretch>
          <a:fillRect/>
        </a:stretch>
      </xdr:blipFill>
      <xdr:spPr>
        <a:xfrm>
          <a:off x="0" y="0"/>
          <a:ext cx="0" cy="0"/>
        </a:xfrm>
        <a:prstGeom prst="rect">
          <a:avLst/>
        </a:prstGeom>
      </xdr:spPr>
    </xdr:pic>
    <xdr:clientData fLocksWithSheet="0"/>
  </xdr:twoCellAnchor>
  <xdr:twoCellAnchor>
    <xdr:from>
      <xdr:col>40</xdr:col>
      <xdr:colOff>38100</xdr:colOff>
      <xdr:row>38</xdr:row>
      <xdr:rowOff>38100</xdr:rowOff>
    </xdr:from>
    <xdr:to>
      <xdr:col>41</xdr:col>
      <xdr:colOff>-38100</xdr:colOff>
      <xdr:row>39</xdr:row>
      <xdr:rowOff>-38100</xdr:rowOff>
    </xdr:to>
    <xdr:pic>
      <xdr:nvPicPr>
        <xdr:cNvPr id="36" name="Picture 36" descr="wHGPtN">
          <a:extLst>
            <a:ext uri="{FF2B5EF4-FFF2-40B4-BE49-F238E27FC236}">
              <a16:creationId xmlns:a16="http://schemas.microsoft.com/office/drawing/2014/main" id="{00000000-0008-0000-0000-000024000000}"/>
            </a:ext>
          </a:extLst>
        </xdr:cNvPr>
        <xdr:cNvPicPr>
          <a:picLocks/>
        </xdr:cNvPicPr>
      </xdr:nvPicPr>
      <xdr:blipFill>
        <a:blip xmlns:r="http://schemas.openxmlformats.org/officeDocument/2006/relationships" r:embed="rId35"/>
        <a:stretch>
          <a:fillRect/>
        </a:stretch>
      </xdr:blipFill>
      <xdr:spPr>
        <a:xfrm>
          <a:off x="0" y="0"/>
          <a:ext cx="0" cy="0"/>
        </a:xfrm>
        <a:prstGeom prst="rect">
          <a:avLst/>
        </a:prstGeom>
      </xdr:spPr>
    </xdr:pic>
    <xdr:clientData fLocksWithSheet="0"/>
  </xdr:twoCellAnchor>
  <xdr:twoCellAnchor>
    <xdr:from>
      <xdr:col>10</xdr:col>
      <xdr:colOff>38100</xdr:colOff>
      <xdr:row>116</xdr:row>
      <xdr:rowOff>38100</xdr:rowOff>
    </xdr:from>
    <xdr:to>
      <xdr:col>11</xdr:col>
      <xdr:colOff>-38100</xdr:colOff>
      <xdr:row>117</xdr:row>
      <xdr:rowOff>-38100</xdr:rowOff>
    </xdr:to>
    <xdr:pic>
      <xdr:nvPicPr>
        <xdr:cNvPr id="37" name="Picture 37" descr="KuESdG">
          <a:extLst>
            <a:ext uri="{FF2B5EF4-FFF2-40B4-BE49-F238E27FC236}">
              <a16:creationId xmlns:a16="http://schemas.microsoft.com/office/drawing/2014/main" id="{00000000-0008-0000-0000-000025000000}"/>
            </a:ext>
          </a:extLst>
        </xdr:cNvPr>
        <xdr:cNvPicPr>
          <a:picLocks/>
        </xdr:cNvPicPr>
      </xdr:nvPicPr>
      <xdr:blipFill>
        <a:blip xmlns:r="http://schemas.openxmlformats.org/officeDocument/2006/relationships" r:embed="rId36"/>
        <a:stretch>
          <a:fillRect/>
        </a:stretch>
      </xdr:blipFill>
      <xdr:spPr>
        <a:xfrm>
          <a:off x="0" y="0"/>
          <a:ext cx="0" cy="0"/>
        </a:xfrm>
        <a:prstGeom prst="rect">
          <a:avLst/>
        </a:prstGeom>
      </xdr:spPr>
    </xdr:pic>
    <xdr:clientData fLocksWithSheet="0"/>
  </xdr:twoCellAnchor>
  <xdr:twoCellAnchor>
    <xdr:from>
      <xdr:col>20</xdr:col>
      <xdr:colOff>38100</xdr:colOff>
      <xdr:row>116</xdr:row>
      <xdr:rowOff>38100</xdr:rowOff>
    </xdr:from>
    <xdr:to>
      <xdr:col>21</xdr:col>
      <xdr:colOff>-38100</xdr:colOff>
      <xdr:row>117</xdr:row>
      <xdr:rowOff>-38100</xdr:rowOff>
    </xdr:to>
    <xdr:pic>
      <xdr:nvPicPr>
        <xdr:cNvPr id="38" name="Picture 38" descr="kzTyWV">
          <a:extLst>
            <a:ext uri="{FF2B5EF4-FFF2-40B4-BE49-F238E27FC236}">
              <a16:creationId xmlns:a16="http://schemas.microsoft.com/office/drawing/2014/main" id="{00000000-0008-0000-0000-000026000000}"/>
            </a:ext>
          </a:extLst>
        </xdr:cNvPr>
        <xdr:cNvPicPr>
          <a:picLocks/>
        </xdr:cNvPicPr>
      </xdr:nvPicPr>
      <xdr:blipFill>
        <a:blip xmlns:r="http://schemas.openxmlformats.org/officeDocument/2006/relationships" r:embed="rId37"/>
        <a:stretch>
          <a:fillRect/>
        </a:stretch>
      </xdr:blipFill>
      <xdr:spPr>
        <a:xfrm>
          <a:off x="0" y="0"/>
          <a:ext cx="0" cy="0"/>
        </a:xfrm>
        <a:prstGeom prst="rect">
          <a:avLst/>
        </a:prstGeom>
      </xdr:spPr>
    </xdr:pic>
    <xdr:clientData fLocksWithSheet="0"/>
  </xdr:twoCellAnchor>
  <xdr:twoCellAnchor>
    <xdr:from>
      <xdr:col>20</xdr:col>
      <xdr:colOff>38100</xdr:colOff>
      <xdr:row>98</xdr:row>
      <xdr:rowOff>38100</xdr:rowOff>
    </xdr:from>
    <xdr:to>
      <xdr:col>21</xdr:col>
      <xdr:colOff>-38100</xdr:colOff>
      <xdr:row>99</xdr:row>
      <xdr:rowOff>-38100</xdr:rowOff>
    </xdr:to>
    <xdr:pic>
      <xdr:nvPicPr>
        <xdr:cNvPr id="39" name="Picture 39" descr="cqsjJt">
          <a:extLst>
            <a:ext uri="{FF2B5EF4-FFF2-40B4-BE49-F238E27FC236}">
              <a16:creationId xmlns:a16="http://schemas.microsoft.com/office/drawing/2014/main" id="{00000000-0008-0000-0000-000027000000}"/>
            </a:ext>
          </a:extLst>
        </xdr:cNvPr>
        <xdr:cNvPicPr>
          <a:picLocks/>
        </xdr:cNvPicPr>
      </xdr:nvPicPr>
      <xdr:blipFill>
        <a:blip xmlns:r="http://schemas.openxmlformats.org/officeDocument/2006/relationships" r:embed="rId38"/>
        <a:stretch>
          <a:fillRect/>
        </a:stretch>
      </xdr:blipFill>
      <xdr:spPr>
        <a:xfrm>
          <a:off x="0" y="0"/>
          <a:ext cx="0" cy="0"/>
        </a:xfrm>
        <a:prstGeom prst="rect">
          <a:avLst/>
        </a:prstGeom>
      </xdr:spPr>
    </xdr:pic>
    <xdr:clientData fLocksWithSheet="0"/>
  </xdr:twoCellAnchor>
  <xdr:twoCellAnchor>
    <xdr:from>
      <xdr:col>0</xdr:col>
      <xdr:colOff>38100</xdr:colOff>
      <xdr:row>98</xdr:row>
      <xdr:rowOff>38100</xdr:rowOff>
    </xdr:from>
    <xdr:to>
      <xdr:col>1</xdr:col>
      <xdr:colOff>-38100</xdr:colOff>
      <xdr:row>99</xdr:row>
      <xdr:rowOff>-38100</xdr:rowOff>
    </xdr:to>
    <xdr:pic>
      <xdr:nvPicPr>
        <xdr:cNvPr id="40" name="Picture 40" descr="yKwnVf">
          <a:extLst>
            <a:ext uri="{FF2B5EF4-FFF2-40B4-BE49-F238E27FC236}">
              <a16:creationId xmlns:a16="http://schemas.microsoft.com/office/drawing/2014/main" id="{00000000-0008-0000-0000-000028000000}"/>
            </a:ext>
          </a:extLst>
        </xdr:cNvPr>
        <xdr:cNvPicPr>
          <a:picLocks/>
        </xdr:cNvPicPr>
      </xdr:nvPicPr>
      <xdr:blipFill>
        <a:blip xmlns:r="http://schemas.openxmlformats.org/officeDocument/2006/relationships" r:embed="rId39"/>
        <a:stretch>
          <a:fillRect/>
        </a:stretch>
      </xdr:blipFill>
      <xdr:spPr>
        <a:xfrm>
          <a:off x="0" y="0"/>
          <a:ext cx="0" cy="0"/>
        </a:xfrm>
        <a:prstGeom prst="rect">
          <a:avLst/>
        </a:prstGeom>
      </xdr:spPr>
    </xdr:pic>
    <xdr:clientData fLocksWithSheet="0"/>
  </xdr:twoCellAnchor>
  <xdr:twoCellAnchor>
    <xdr:from>
      <xdr:col>40</xdr:col>
      <xdr:colOff>38100</xdr:colOff>
      <xdr:row>98</xdr:row>
      <xdr:rowOff>38100</xdr:rowOff>
    </xdr:from>
    <xdr:to>
      <xdr:col>41</xdr:col>
      <xdr:colOff>-38100</xdr:colOff>
      <xdr:row>99</xdr:row>
      <xdr:rowOff>-38100</xdr:rowOff>
    </xdr:to>
    <xdr:pic>
      <xdr:nvPicPr>
        <xdr:cNvPr id="41" name="Picture 41" descr="aPNpmb">
          <a:extLst>
            <a:ext uri="{FF2B5EF4-FFF2-40B4-BE49-F238E27FC236}">
              <a16:creationId xmlns:a16="http://schemas.microsoft.com/office/drawing/2014/main" id="{00000000-0008-0000-0000-000029000000}"/>
            </a:ext>
          </a:extLst>
        </xdr:cNvPr>
        <xdr:cNvPicPr>
          <a:picLocks/>
        </xdr:cNvPicPr>
      </xdr:nvPicPr>
      <xdr:blipFill>
        <a:blip xmlns:r="http://schemas.openxmlformats.org/officeDocument/2006/relationships" r:embed="rId40"/>
        <a:stretch>
          <a:fillRect/>
        </a:stretch>
      </xdr:blipFill>
      <xdr:spPr>
        <a:xfrm>
          <a:off x="0" y="0"/>
          <a:ext cx="0" cy="0"/>
        </a:xfrm>
        <a:prstGeom prst="rect">
          <a:avLst/>
        </a:prstGeom>
      </xdr:spPr>
    </xdr:pic>
    <xdr:clientData fLocksWithSheet="0"/>
  </xdr:twoCellAnchor>
  <xdr:twoCellAnchor>
    <xdr:from>
      <xdr:col>10</xdr:col>
      <xdr:colOff>38100</xdr:colOff>
      <xdr:row>98</xdr:row>
      <xdr:rowOff>38100</xdr:rowOff>
    </xdr:from>
    <xdr:to>
      <xdr:col>11</xdr:col>
      <xdr:colOff>-38100</xdr:colOff>
      <xdr:row>99</xdr:row>
      <xdr:rowOff>-38100</xdr:rowOff>
    </xdr:to>
    <xdr:pic>
      <xdr:nvPicPr>
        <xdr:cNvPr id="42" name="Picture 42" descr="jBqMmi">
          <a:extLst>
            <a:ext uri="{FF2B5EF4-FFF2-40B4-BE49-F238E27FC236}">
              <a16:creationId xmlns:a16="http://schemas.microsoft.com/office/drawing/2014/main" id="{00000000-0008-0000-0000-00002A000000}"/>
            </a:ext>
          </a:extLst>
        </xdr:cNvPr>
        <xdr:cNvPicPr>
          <a:picLocks/>
        </xdr:cNvPicPr>
      </xdr:nvPicPr>
      <xdr:blipFill>
        <a:blip xmlns:r="http://schemas.openxmlformats.org/officeDocument/2006/relationships" r:embed="rId41"/>
        <a:stretch>
          <a:fillRect/>
        </a:stretch>
      </xdr:blipFill>
      <xdr:spPr>
        <a:xfrm>
          <a:off x="0" y="0"/>
          <a:ext cx="0" cy="0"/>
        </a:xfrm>
        <a:prstGeom prst="rect">
          <a:avLst/>
        </a:prstGeom>
      </xdr:spPr>
    </xdr:pic>
    <xdr:clientData fLocksWithSheet="0"/>
  </xdr:twoCellAnchor>
  <xdr:twoCellAnchor>
    <xdr:from>
      <xdr:col>50</xdr:col>
      <xdr:colOff>38100</xdr:colOff>
      <xdr:row>74</xdr:row>
      <xdr:rowOff>38100</xdr:rowOff>
    </xdr:from>
    <xdr:to>
      <xdr:col>51</xdr:col>
      <xdr:colOff>-38100</xdr:colOff>
      <xdr:row>75</xdr:row>
      <xdr:rowOff>-38100</xdr:rowOff>
    </xdr:to>
    <xdr:pic>
      <xdr:nvPicPr>
        <xdr:cNvPr id="43" name="Picture 43" descr="DSSGfv">
          <a:extLst>
            <a:ext uri="{FF2B5EF4-FFF2-40B4-BE49-F238E27FC236}">
              <a16:creationId xmlns:a16="http://schemas.microsoft.com/office/drawing/2014/main" id="{00000000-0008-0000-0000-00002B000000}"/>
            </a:ext>
          </a:extLst>
        </xdr:cNvPr>
        <xdr:cNvPicPr>
          <a:picLocks/>
        </xdr:cNvPicPr>
      </xdr:nvPicPr>
      <xdr:blipFill>
        <a:blip xmlns:r="http://schemas.openxmlformats.org/officeDocument/2006/relationships" r:embed="rId42"/>
        <a:stretch>
          <a:fillRect/>
        </a:stretch>
      </xdr:blipFill>
      <xdr:spPr>
        <a:xfrm>
          <a:off x="0" y="0"/>
          <a:ext cx="0" cy="0"/>
        </a:xfrm>
        <a:prstGeom prst="rect">
          <a:avLst/>
        </a:prstGeom>
      </xdr:spPr>
    </xdr:pic>
    <xdr:clientData fLocksWithSheet="0"/>
  </xdr:twoCellAnchor>
  <xdr:twoCellAnchor>
    <xdr:from>
      <xdr:col>30</xdr:col>
      <xdr:colOff>38100</xdr:colOff>
      <xdr:row>74</xdr:row>
      <xdr:rowOff>38100</xdr:rowOff>
    </xdr:from>
    <xdr:to>
      <xdr:col>31</xdr:col>
      <xdr:colOff>-38100</xdr:colOff>
      <xdr:row>75</xdr:row>
      <xdr:rowOff>-38100</xdr:rowOff>
    </xdr:to>
    <xdr:pic>
      <xdr:nvPicPr>
        <xdr:cNvPr id="44" name="Picture 44" descr="gLKIJr">
          <a:extLst>
            <a:ext uri="{FF2B5EF4-FFF2-40B4-BE49-F238E27FC236}">
              <a16:creationId xmlns:a16="http://schemas.microsoft.com/office/drawing/2014/main" id="{00000000-0008-0000-0000-00002C000000}"/>
            </a:ext>
          </a:extLst>
        </xdr:cNvPr>
        <xdr:cNvPicPr>
          <a:picLocks/>
        </xdr:cNvPicPr>
      </xdr:nvPicPr>
      <xdr:blipFill>
        <a:blip xmlns:r="http://schemas.openxmlformats.org/officeDocument/2006/relationships" r:embed="rId43"/>
        <a:stretch>
          <a:fillRect/>
        </a:stretch>
      </xdr:blipFill>
      <xdr:spPr>
        <a:xfrm>
          <a:off x="0" y="0"/>
          <a:ext cx="0" cy="0"/>
        </a:xfrm>
        <a:prstGeom prst="rect">
          <a:avLst/>
        </a:prstGeom>
      </xdr:spPr>
    </xdr:pic>
    <xdr:clientData fLocksWithSheet="0"/>
  </xdr:twoCellAnchor>
  <xdr:twoCellAnchor>
    <xdr:from>
      <xdr:col>10</xdr:col>
      <xdr:colOff>38100</xdr:colOff>
      <xdr:row>74</xdr:row>
      <xdr:rowOff>38100</xdr:rowOff>
    </xdr:from>
    <xdr:to>
      <xdr:col>11</xdr:col>
      <xdr:colOff>-38100</xdr:colOff>
      <xdr:row>75</xdr:row>
      <xdr:rowOff>-38100</xdr:rowOff>
    </xdr:to>
    <xdr:pic>
      <xdr:nvPicPr>
        <xdr:cNvPr id="45" name="Picture 45" descr="YpShqC">
          <a:extLst>
            <a:ext uri="{FF2B5EF4-FFF2-40B4-BE49-F238E27FC236}">
              <a16:creationId xmlns:a16="http://schemas.microsoft.com/office/drawing/2014/main" id="{00000000-0008-0000-0000-00002D000000}"/>
            </a:ext>
          </a:extLst>
        </xdr:cNvPr>
        <xdr:cNvPicPr>
          <a:picLocks/>
        </xdr:cNvPicPr>
      </xdr:nvPicPr>
      <xdr:blipFill>
        <a:blip xmlns:r="http://schemas.openxmlformats.org/officeDocument/2006/relationships" r:embed="rId44"/>
        <a:stretch>
          <a:fillRect/>
        </a:stretch>
      </xdr:blipFill>
      <xdr:spPr>
        <a:xfrm>
          <a:off x="0" y="0"/>
          <a:ext cx="0" cy="0"/>
        </a:xfrm>
        <a:prstGeom prst="rect">
          <a:avLst/>
        </a:prstGeom>
      </xdr:spPr>
    </xdr:pic>
    <xdr:clientData fLocksWithSheet="0"/>
  </xdr:twoCellAnchor>
  <xdr:twoCellAnchor>
    <xdr:from>
      <xdr:col>20</xdr:col>
      <xdr:colOff>38100</xdr:colOff>
      <xdr:row>74</xdr:row>
      <xdr:rowOff>38100</xdr:rowOff>
    </xdr:from>
    <xdr:to>
      <xdr:col>21</xdr:col>
      <xdr:colOff>-38100</xdr:colOff>
      <xdr:row>75</xdr:row>
      <xdr:rowOff>-38100</xdr:rowOff>
    </xdr:to>
    <xdr:pic>
      <xdr:nvPicPr>
        <xdr:cNvPr id="46" name="Picture 46" descr="kJDJzS">
          <a:extLst>
            <a:ext uri="{FF2B5EF4-FFF2-40B4-BE49-F238E27FC236}">
              <a16:creationId xmlns:a16="http://schemas.microsoft.com/office/drawing/2014/main" id="{00000000-0008-0000-0000-00002E000000}"/>
            </a:ext>
          </a:extLst>
        </xdr:cNvPr>
        <xdr:cNvPicPr>
          <a:picLocks/>
        </xdr:cNvPicPr>
      </xdr:nvPicPr>
      <xdr:blipFill>
        <a:blip xmlns:r="http://schemas.openxmlformats.org/officeDocument/2006/relationships" r:embed="rId45"/>
        <a:stretch>
          <a:fillRect/>
        </a:stretch>
      </xdr:blipFill>
      <xdr:spPr>
        <a:xfrm>
          <a:off x="0" y="0"/>
          <a:ext cx="0" cy="0"/>
        </a:xfrm>
        <a:prstGeom prst="rect">
          <a:avLst/>
        </a:prstGeom>
      </xdr:spPr>
    </xdr:pic>
    <xdr:clientData fLocksWithSheet="0"/>
  </xdr:twoCellAnchor>
  <xdr:twoCellAnchor>
    <xdr:from>
      <xdr:col>0</xdr:col>
      <xdr:colOff>38100</xdr:colOff>
      <xdr:row>74</xdr:row>
      <xdr:rowOff>38100</xdr:rowOff>
    </xdr:from>
    <xdr:to>
      <xdr:col>1</xdr:col>
      <xdr:colOff>-38100</xdr:colOff>
      <xdr:row>75</xdr:row>
      <xdr:rowOff>-38100</xdr:rowOff>
    </xdr:to>
    <xdr:pic>
      <xdr:nvPicPr>
        <xdr:cNvPr id="47" name="Picture 47" descr="HgGpci">
          <a:extLst>
            <a:ext uri="{FF2B5EF4-FFF2-40B4-BE49-F238E27FC236}">
              <a16:creationId xmlns:a16="http://schemas.microsoft.com/office/drawing/2014/main" id="{00000000-0008-0000-0000-00002F000000}"/>
            </a:ext>
          </a:extLst>
        </xdr:cNvPr>
        <xdr:cNvPicPr>
          <a:picLocks/>
        </xdr:cNvPicPr>
      </xdr:nvPicPr>
      <xdr:blipFill>
        <a:blip xmlns:r="http://schemas.openxmlformats.org/officeDocument/2006/relationships" r:embed="rId46"/>
        <a:stretch>
          <a:fillRect/>
        </a:stretch>
      </xdr:blipFill>
      <xdr:spPr>
        <a:xfrm>
          <a:off x="0" y="0"/>
          <a:ext cx="0" cy="0"/>
        </a:xfrm>
        <a:prstGeom prst="rect">
          <a:avLst/>
        </a:prstGeom>
      </xdr:spPr>
    </xdr:pic>
    <xdr:clientData fLocksWithSheet="0"/>
  </xdr:twoCellAnchor>
  <xdr:twoCellAnchor>
    <xdr:from>
      <xdr:col>40</xdr:col>
      <xdr:colOff>38100</xdr:colOff>
      <xdr:row>74</xdr:row>
      <xdr:rowOff>38100</xdr:rowOff>
    </xdr:from>
    <xdr:to>
      <xdr:col>41</xdr:col>
      <xdr:colOff>-38100</xdr:colOff>
      <xdr:row>75</xdr:row>
      <xdr:rowOff>-38100</xdr:rowOff>
    </xdr:to>
    <xdr:pic>
      <xdr:nvPicPr>
        <xdr:cNvPr id="48" name="Picture 48" descr="EZdpeZ">
          <a:extLst>
            <a:ext uri="{FF2B5EF4-FFF2-40B4-BE49-F238E27FC236}">
              <a16:creationId xmlns:a16="http://schemas.microsoft.com/office/drawing/2014/main" id="{00000000-0008-0000-0000-000030000000}"/>
            </a:ext>
          </a:extLst>
        </xdr:cNvPr>
        <xdr:cNvPicPr>
          <a:picLocks/>
        </xdr:cNvPicPr>
      </xdr:nvPicPr>
      <xdr:blipFill>
        <a:blip xmlns:r="http://schemas.openxmlformats.org/officeDocument/2006/relationships" r:embed="rId47"/>
        <a:stretch>
          <a:fillRect/>
        </a:stretch>
      </xdr:blipFill>
      <xdr:spPr>
        <a:xfrm>
          <a:off x="0" y="0"/>
          <a:ext cx="0" cy="0"/>
        </a:xfrm>
        <a:prstGeom prst="rect">
          <a:avLst/>
        </a:prstGeom>
      </xdr:spPr>
    </xdr:pic>
    <xdr:clientData fLocksWithSheet="0"/>
  </xdr:twoCellAnchor>
  <xdr:twoCellAnchor>
    <xdr:from>
      <xdr:col>10</xdr:col>
      <xdr:colOff>38100</xdr:colOff>
      <xdr:row>20</xdr:row>
      <xdr:rowOff>38100</xdr:rowOff>
    </xdr:from>
    <xdr:to>
      <xdr:col>11</xdr:col>
      <xdr:colOff>-38100</xdr:colOff>
      <xdr:row>21</xdr:row>
      <xdr:rowOff>-38100</xdr:rowOff>
    </xdr:to>
    <xdr:pic>
      <xdr:nvPicPr>
        <xdr:cNvPr id="49" name="Picture 49" descr="jZczVU">
          <a:extLst>
            <a:ext uri="{FF2B5EF4-FFF2-40B4-BE49-F238E27FC236}">
              <a16:creationId xmlns:a16="http://schemas.microsoft.com/office/drawing/2014/main" id="{00000000-0008-0000-0000-000031000000}"/>
            </a:ext>
          </a:extLst>
        </xdr:cNvPr>
        <xdr:cNvPicPr>
          <a:picLocks/>
        </xdr:cNvPicPr>
      </xdr:nvPicPr>
      <xdr:blipFill>
        <a:blip xmlns:r="http://schemas.openxmlformats.org/officeDocument/2006/relationships" r:embed="rId48"/>
        <a:stretch>
          <a:fillRect/>
        </a:stretch>
      </xdr:blipFill>
      <xdr:spPr>
        <a:xfrm>
          <a:off x="0" y="0"/>
          <a:ext cx="0" cy="0"/>
        </a:xfrm>
        <a:prstGeom prst="rect">
          <a:avLst/>
        </a:prstGeom>
      </xdr:spPr>
    </xdr:pic>
    <xdr:clientData fLocksWithSheet="0"/>
  </xdr:twoCellAnchor>
  <xdr:twoCellAnchor>
    <xdr:from>
      <xdr:col>20</xdr:col>
      <xdr:colOff>38100</xdr:colOff>
      <xdr:row>20</xdr:row>
      <xdr:rowOff>38100</xdr:rowOff>
    </xdr:from>
    <xdr:to>
      <xdr:col>21</xdr:col>
      <xdr:colOff>-38100</xdr:colOff>
      <xdr:row>21</xdr:row>
      <xdr:rowOff>-38100</xdr:rowOff>
    </xdr:to>
    <xdr:pic>
      <xdr:nvPicPr>
        <xdr:cNvPr id="50" name="Picture 50" descr="IYOfFB">
          <a:extLst>
            <a:ext uri="{FF2B5EF4-FFF2-40B4-BE49-F238E27FC236}">
              <a16:creationId xmlns:a16="http://schemas.microsoft.com/office/drawing/2014/main" id="{00000000-0008-0000-0000-000032000000}"/>
            </a:ext>
          </a:extLst>
        </xdr:cNvPr>
        <xdr:cNvPicPr>
          <a:picLocks/>
        </xdr:cNvPicPr>
      </xdr:nvPicPr>
      <xdr:blipFill>
        <a:blip xmlns:r="http://schemas.openxmlformats.org/officeDocument/2006/relationships" r:embed="rId49"/>
        <a:stretch>
          <a:fillRect/>
        </a:stretch>
      </xdr:blipFill>
      <xdr:spPr>
        <a:xfrm>
          <a:off x="0" y="0"/>
          <a:ext cx="0" cy="0"/>
        </a:xfrm>
        <a:prstGeom prst="rect">
          <a:avLst/>
        </a:prstGeom>
      </xdr:spPr>
    </xdr:pic>
    <xdr:clientData fLocksWithSheet="0"/>
  </xdr:twoCellAnchor>
  <xdr:twoCellAnchor>
    <xdr:from>
      <xdr:col>0</xdr:col>
      <xdr:colOff>38100</xdr:colOff>
      <xdr:row>20</xdr:row>
      <xdr:rowOff>38100</xdr:rowOff>
    </xdr:from>
    <xdr:to>
      <xdr:col>1</xdr:col>
      <xdr:colOff>-38100</xdr:colOff>
      <xdr:row>21</xdr:row>
      <xdr:rowOff>-38100</xdr:rowOff>
    </xdr:to>
    <xdr:pic>
      <xdr:nvPicPr>
        <xdr:cNvPr id="51" name="Picture 51" descr="NrVKqE">
          <a:extLst>
            <a:ext uri="{FF2B5EF4-FFF2-40B4-BE49-F238E27FC236}">
              <a16:creationId xmlns:a16="http://schemas.microsoft.com/office/drawing/2014/main" id="{00000000-0008-0000-0000-000033000000}"/>
            </a:ext>
          </a:extLst>
        </xdr:cNvPr>
        <xdr:cNvPicPr>
          <a:picLocks/>
        </xdr:cNvPicPr>
      </xdr:nvPicPr>
      <xdr:blipFill>
        <a:blip xmlns:r="http://schemas.openxmlformats.org/officeDocument/2006/relationships" r:embed="rId50"/>
        <a:stretch>
          <a:fillRect/>
        </a:stretch>
      </xdr:blipFill>
      <xdr:spPr>
        <a:xfrm>
          <a:off x="0" y="0"/>
          <a:ext cx="0" cy="0"/>
        </a:xfrm>
        <a:prstGeom prst="rect">
          <a:avLst/>
        </a:prstGeom>
      </xdr:spPr>
    </xdr:pic>
    <xdr:clientData fLocksWithSheet="0"/>
  </xdr:twoCellAnchor>
  <xdr:twoCellAnchor>
    <xdr:from>
      <xdr:col>40</xdr:col>
      <xdr:colOff>38100</xdr:colOff>
      <xdr:row>20</xdr:row>
      <xdr:rowOff>38100</xdr:rowOff>
    </xdr:from>
    <xdr:to>
      <xdr:col>41</xdr:col>
      <xdr:colOff>-38100</xdr:colOff>
      <xdr:row>21</xdr:row>
      <xdr:rowOff>-38100</xdr:rowOff>
    </xdr:to>
    <xdr:pic>
      <xdr:nvPicPr>
        <xdr:cNvPr id="52" name="Picture 52" descr="WEjqLc">
          <a:extLst>
            <a:ext uri="{FF2B5EF4-FFF2-40B4-BE49-F238E27FC236}">
              <a16:creationId xmlns:a16="http://schemas.microsoft.com/office/drawing/2014/main" id="{00000000-0008-0000-0000-000034000000}"/>
            </a:ext>
          </a:extLst>
        </xdr:cNvPr>
        <xdr:cNvPicPr>
          <a:picLocks/>
        </xdr:cNvPicPr>
      </xdr:nvPicPr>
      <xdr:blipFill>
        <a:blip xmlns:r="http://schemas.openxmlformats.org/officeDocument/2006/relationships" r:embed="rId51"/>
        <a:stretch>
          <a:fillRect/>
        </a:stretch>
      </xdr:blipFill>
      <xdr:spPr>
        <a:xfrm>
          <a:off x="0" y="0"/>
          <a:ext cx="0" cy="0"/>
        </a:xfrm>
        <a:prstGeom prst="rect">
          <a:avLst/>
        </a:prstGeom>
      </xdr:spPr>
    </xdr:pic>
    <xdr:clientData fLocksWithSheet="0"/>
  </xdr:twoCellAnchor>
  <xdr:twoCellAnchor>
    <xdr:from>
      <xdr:col>50</xdr:col>
      <xdr:colOff>38100</xdr:colOff>
      <xdr:row>20</xdr:row>
      <xdr:rowOff>38100</xdr:rowOff>
    </xdr:from>
    <xdr:to>
      <xdr:col>51</xdr:col>
      <xdr:colOff>-38100</xdr:colOff>
      <xdr:row>21</xdr:row>
      <xdr:rowOff>-38100</xdr:rowOff>
    </xdr:to>
    <xdr:pic>
      <xdr:nvPicPr>
        <xdr:cNvPr id="53" name="Picture 53" descr="MrljYi">
          <a:extLst>
            <a:ext uri="{FF2B5EF4-FFF2-40B4-BE49-F238E27FC236}">
              <a16:creationId xmlns:a16="http://schemas.microsoft.com/office/drawing/2014/main" id="{00000000-0008-0000-0000-000035000000}"/>
            </a:ext>
          </a:extLst>
        </xdr:cNvPr>
        <xdr:cNvPicPr>
          <a:picLocks/>
        </xdr:cNvPicPr>
      </xdr:nvPicPr>
      <xdr:blipFill>
        <a:blip xmlns:r="http://schemas.openxmlformats.org/officeDocument/2006/relationships" r:embed="rId52"/>
        <a:stretch>
          <a:fillRect/>
        </a:stretch>
      </xdr:blipFill>
      <xdr:spPr>
        <a:xfrm>
          <a:off x="0" y="0"/>
          <a:ext cx="0" cy="0"/>
        </a:xfrm>
        <a:prstGeom prst="rect">
          <a:avLst/>
        </a:prstGeom>
      </xdr:spPr>
    </xdr:pic>
    <xdr:clientData fLocksWithSheet="0"/>
  </xdr:twoCellAnchor>
  <xdr:twoCellAnchor>
    <xdr:from>
      <xdr:col>30</xdr:col>
      <xdr:colOff>38100</xdr:colOff>
      <xdr:row>20</xdr:row>
      <xdr:rowOff>38100</xdr:rowOff>
    </xdr:from>
    <xdr:to>
      <xdr:col>31</xdr:col>
      <xdr:colOff>-38100</xdr:colOff>
      <xdr:row>21</xdr:row>
      <xdr:rowOff>-38100</xdr:rowOff>
    </xdr:to>
    <xdr:pic>
      <xdr:nvPicPr>
        <xdr:cNvPr id="54" name="Picture 54" descr="AZoSQM">
          <a:extLst>
            <a:ext uri="{FF2B5EF4-FFF2-40B4-BE49-F238E27FC236}">
              <a16:creationId xmlns:a16="http://schemas.microsoft.com/office/drawing/2014/main" id="{00000000-0008-0000-0000-000036000000}"/>
            </a:ext>
          </a:extLst>
        </xdr:cNvPr>
        <xdr:cNvPicPr>
          <a:picLocks/>
        </xdr:cNvPicPr>
      </xdr:nvPicPr>
      <xdr:blipFill>
        <a:blip xmlns:r="http://schemas.openxmlformats.org/officeDocument/2006/relationships" r:embed="rId53"/>
        <a:stretch>
          <a:fillRect/>
        </a:stretch>
      </xdr:blipFill>
      <xdr:spPr>
        <a:xfrm>
          <a:off x="0" y="0"/>
          <a:ext cx="0" cy="0"/>
        </a:xfrm>
        <a:prstGeom prst="rect">
          <a:avLst/>
        </a:prstGeom>
      </xdr:spPr>
    </xdr:pic>
    <xdr:clientData fLocksWithSheet="0"/>
  </xdr:twoCellAnchor>
  <xdr:twoCellAnchor>
    <xdr:from>
      <xdr:col>10</xdr:col>
      <xdr:colOff>38100</xdr:colOff>
      <xdr:row>110</xdr:row>
      <xdr:rowOff>38100</xdr:rowOff>
    </xdr:from>
    <xdr:to>
      <xdr:col>11</xdr:col>
      <xdr:colOff>-38100</xdr:colOff>
      <xdr:row>111</xdr:row>
      <xdr:rowOff>-38100</xdr:rowOff>
    </xdr:to>
    <xdr:pic>
      <xdr:nvPicPr>
        <xdr:cNvPr id="55" name="Picture 55" descr="BBSeYk">
          <a:extLst>
            <a:ext uri="{FF2B5EF4-FFF2-40B4-BE49-F238E27FC236}">
              <a16:creationId xmlns:a16="http://schemas.microsoft.com/office/drawing/2014/main" id="{00000000-0008-0000-0000-000037000000}"/>
            </a:ext>
          </a:extLst>
        </xdr:cNvPr>
        <xdr:cNvPicPr>
          <a:picLocks/>
        </xdr:cNvPicPr>
      </xdr:nvPicPr>
      <xdr:blipFill>
        <a:blip xmlns:r="http://schemas.openxmlformats.org/officeDocument/2006/relationships" r:embed="rId54"/>
        <a:stretch>
          <a:fillRect/>
        </a:stretch>
      </xdr:blipFill>
      <xdr:spPr>
        <a:xfrm>
          <a:off x="0" y="0"/>
          <a:ext cx="0" cy="0"/>
        </a:xfrm>
        <a:prstGeom prst="rect">
          <a:avLst/>
        </a:prstGeom>
      </xdr:spPr>
    </xdr:pic>
    <xdr:clientData fLocksWithSheet="0"/>
  </xdr:twoCellAnchor>
  <xdr:twoCellAnchor>
    <xdr:from>
      <xdr:col>20</xdr:col>
      <xdr:colOff>38100</xdr:colOff>
      <xdr:row>110</xdr:row>
      <xdr:rowOff>38100</xdr:rowOff>
    </xdr:from>
    <xdr:to>
      <xdr:col>21</xdr:col>
      <xdr:colOff>-38100</xdr:colOff>
      <xdr:row>111</xdr:row>
      <xdr:rowOff>-38100</xdr:rowOff>
    </xdr:to>
    <xdr:pic>
      <xdr:nvPicPr>
        <xdr:cNvPr id="56" name="Picture 56" descr="MBwNtX">
          <a:extLst>
            <a:ext uri="{FF2B5EF4-FFF2-40B4-BE49-F238E27FC236}">
              <a16:creationId xmlns:a16="http://schemas.microsoft.com/office/drawing/2014/main" id="{00000000-0008-0000-0000-000038000000}"/>
            </a:ext>
          </a:extLst>
        </xdr:cNvPr>
        <xdr:cNvPicPr>
          <a:picLocks/>
        </xdr:cNvPicPr>
      </xdr:nvPicPr>
      <xdr:blipFill>
        <a:blip xmlns:r="http://schemas.openxmlformats.org/officeDocument/2006/relationships" r:embed="rId55"/>
        <a:stretch>
          <a:fillRect/>
        </a:stretch>
      </xdr:blipFill>
      <xdr:spPr>
        <a:xfrm>
          <a:off x="0" y="0"/>
          <a:ext cx="0" cy="0"/>
        </a:xfrm>
        <a:prstGeom prst="rect">
          <a:avLst/>
        </a:prstGeom>
      </xdr:spPr>
    </xdr:pic>
    <xdr:clientData fLocksWithSheet="0"/>
  </xdr:twoCellAnchor>
  <xdr:twoCellAnchor>
    <xdr:from>
      <xdr:col>40</xdr:col>
      <xdr:colOff>38100</xdr:colOff>
      <xdr:row>44</xdr:row>
      <xdr:rowOff>38100</xdr:rowOff>
    </xdr:from>
    <xdr:to>
      <xdr:col>41</xdr:col>
      <xdr:colOff>-38100</xdr:colOff>
      <xdr:row>45</xdr:row>
      <xdr:rowOff>-38100</xdr:rowOff>
    </xdr:to>
    <xdr:pic>
      <xdr:nvPicPr>
        <xdr:cNvPr id="57" name="Picture 57" descr="lNRrPD">
          <a:extLst>
            <a:ext uri="{FF2B5EF4-FFF2-40B4-BE49-F238E27FC236}">
              <a16:creationId xmlns:a16="http://schemas.microsoft.com/office/drawing/2014/main" id="{00000000-0008-0000-0000-000039000000}"/>
            </a:ext>
          </a:extLst>
        </xdr:cNvPr>
        <xdr:cNvPicPr>
          <a:picLocks/>
        </xdr:cNvPicPr>
      </xdr:nvPicPr>
      <xdr:blipFill>
        <a:blip xmlns:r="http://schemas.openxmlformats.org/officeDocument/2006/relationships" r:embed="rId56"/>
        <a:stretch>
          <a:fillRect/>
        </a:stretch>
      </xdr:blipFill>
      <xdr:spPr>
        <a:xfrm>
          <a:off x="0" y="0"/>
          <a:ext cx="0" cy="0"/>
        </a:xfrm>
        <a:prstGeom prst="rect">
          <a:avLst/>
        </a:prstGeom>
      </xdr:spPr>
    </xdr:pic>
    <xdr:clientData fLocksWithSheet="0"/>
  </xdr:twoCellAnchor>
  <xdr:twoCellAnchor>
    <xdr:from>
      <xdr:col>50</xdr:col>
      <xdr:colOff>38100</xdr:colOff>
      <xdr:row>44</xdr:row>
      <xdr:rowOff>38100</xdr:rowOff>
    </xdr:from>
    <xdr:to>
      <xdr:col>51</xdr:col>
      <xdr:colOff>-38100</xdr:colOff>
      <xdr:row>45</xdr:row>
      <xdr:rowOff>-38100</xdr:rowOff>
    </xdr:to>
    <xdr:pic>
      <xdr:nvPicPr>
        <xdr:cNvPr id="58" name="Picture 58" descr="Dtxpzb">
          <a:extLst>
            <a:ext uri="{FF2B5EF4-FFF2-40B4-BE49-F238E27FC236}">
              <a16:creationId xmlns:a16="http://schemas.microsoft.com/office/drawing/2014/main" id="{00000000-0008-0000-0000-00003A000000}"/>
            </a:ext>
          </a:extLst>
        </xdr:cNvPr>
        <xdr:cNvPicPr>
          <a:picLocks/>
        </xdr:cNvPicPr>
      </xdr:nvPicPr>
      <xdr:blipFill>
        <a:blip xmlns:r="http://schemas.openxmlformats.org/officeDocument/2006/relationships" r:embed="rId57"/>
        <a:stretch>
          <a:fillRect/>
        </a:stretch>
      </xdr:blipFill>
      <xdr:spPr>
        <a:xfrm>
          <a:off x="0" y="0"/>
          <a:ext cx="0" cy="0"/>
        </a:xfrm>
        <a:prstGeom prst="rect">
          <a:avLst/>
        </a:prstGeom>
      </xdr:spPr>
    </xdr:pic>
    <xdr:clientData fLocksWithSheet="0"/>
  </xdr:twoCellAnchor>
  <xdr:twoCellAnchor>
    <xdr:from>
      <xdr:col>10</xdr:col>
      <xdr:colOff>38100</xdr:colOff>
      <xdr:row>44</xdr:row>
      <xdr:rowOff>38100</xdr:rowOff>
    </xdr:from>
    <xdr:to>
      <xdr:col>11</xdr:col>
      <xdr:colOff>-38100</xdr:colOff>
      <xdr:row>45</xdr:row>
      <xdr:rowOff>-38100</xdr:rowOff>
    </xdr:to>
    <xdr:pic>
      <xdr:nvPicPr>
        <xdr:cNvPr id="59" name="Picture 59" descr="VFzThk">
          <a:extLst>
            <a:ext uri="{FF2B5EF4-FFF2-40B4-BE49-F238E27FC236}">
              <a16:creationId xmlns:a16="http://schemas.microsoft.com/office/drawing/2014/main" id="{00000000-0008-0000-0000-00003B000000}"/>
            </a:ext>
          </a:extLst>
        </xdr:cNvPr>
        <xdr:cNvPicPr>
          <a:picLocks/>
        </xdr:cNvPicPr>
      </xdr:nvPicPr>
      <xdr:blipFill>
        <a:blip xmlns:r="http://schemas.openxmlformats.org/officeDocument/2006/relationships" r:embed="rId58"/>
        <a:stretch>
          <a:fillRect/>
        </a:stretch>
      </xdr:blipFill>
      <xdr:spPr>
        <a:xfrm>
          <a:off x="0" y="0"/>
          <a:ext cx="0" cy="0"/>
        </a:xfrm>
        <a:prstGeom prst="rect">
          <a:avLst/>
        </a:prstGeom>
      </xdr:spPr>
    </xdr:pic>
    <xdr:clientData fLocksWithSheet="0"/>
  </xdr:twoCellAnchor>
  <xdr:twoCellAnchor>
    <xdr:from>
      <xdr:col>0</xdr:col>
      <xdr:colOff>38100</xdr:colOff>
      <xdr:row>44</xdr:row>
      <xdr:rowOff>38100</xdr:rowOff>
    </xdr:from>
    <xdr:to>
      <xdr:col>1</xdr:col>
      <xdr:colOff>-38100</xdr:colOff>
      <xdr:row>45</xdr:row>
      <xdr:rowOff>-38100</xdr:rowOff>
    </xdr:to>
    <xdr:pic>
      <xdr:nvPicPr>
        <xdr:cNvPr id="60" name="Picture 60" descr="KzYbrs">
          <a:extLst>
            <a:ext uri="{FF2B5EF4-FFF2-40B4-BE49-F238E27FC236}">
              <a16:creationId xmlns:a16="http://schemas.microsoft.com/office/drawing/2014/main" id="{00000000-0008-0000-0000-00003C000000}"/>
            </a:ext>
          </a:extLst>
        </xdr:cNvPr>
        <xdr:cNvPicPr>
          <a:picLocks/>
        </xdr:cNvPicPr>
      </xdr:nvPicPr>
      <xdr:blipFill>
        <a:blip xmlns:r="http://schemas.openxmlformats.org/officeDocument/2006/relationships" r:embed="rId59"/>
        <a:stretch>
          <a:fillRect/>
        </a:stretch>
      </xdr:blipFill>
      <xdr:spPr>
        <a:xfrm>
          <a:off x="0" y="0"/>
          <a:ext cx="0" cy="0"/>
        </a:xfrm>
        <a:prstGeom prst="rect">
          <a:avLst/>
        </a:prstGeom>
      </xdr:spPr>
    </xdr:pic>
    <xdr:clientData fLocksWithSheet="0"/>
  </xdr:twoCellAnchor>
  <xdr:twoCellAnchor>
    <xdr:from>
      <xdr:col>20</xdr:col>
      <xdr:colOff>38100</xdr:colOff>
      <xdr:row>44</xdr:row>
      <xdr:rowOff>38100</xdr:rowOff>
    </xdr:from>
    <xdr:to>
      <xdr:col>21</xdr:col>
      <xdr:colOff>-38100</xdr:colOff>
      <xdr:row>45</xdr:row>
      <xdr:rowOff>-38100</xdr:rowOff>
    </xdr:to>
    <xdr:pic>
      <xdr:nvPicPr>
        <xdr:cNvPr id="61" name="Picture 61" descr="mWPVWR">
          <a:extLst>
            <a:ext uri="{FF2B5EF4-FFF2-40B4-BE49-F238E27FC236}">
              <a16:creationId xmlns:a16="http://schemas.microsoft.com/office/drawing/2014/main" id="{00000000-0008-0000-0000-00003D000000}"/>
            </a:ext>
          </a:extLst>
        </xdr:cNvPr>
        <xdr:cNvPicPr>
          <a:picLocks/>
        </xdr:cNvPicPr>
      </xdr:nvPicPr>
      <xdr:blipFill>
        <a:blip xmlns:r="http://schemas.openxmlformats.org/officeDocument/2006/relationships" r:embed="rId60"/>
        <a:stretch>
          <a:fillRect/>
        </a:stretch>
      </xdr:blipFill>
      <xdr:spPr>
        <a:xfrm>
          <a:off x="0" y="0"/>
          <a:ext cx="0" cy="0"/>
        </a:xfrm>
        <a:prstGeom prst="rect">
          <a:avLst/>
        </a:prstGeom>
      </xdr:spPr>
    </xdr:pic>
    <xdr:clientData fLocksWithSheet="0"/>
  </xdr:twoCellAnchor>
  <xdr:twoCellAnchor>
    <xdr:from>
      <xdr:col>30</xdr:col>
      <xdr:colOff>38100</xdr:colOff>
      <xdr:row>44</xdr:row>
      <xdr:rowOff>38100</xdr:rowOff>
    </xdr:from>
    <xdr:to>
      <xdr:col>31</xdr:col>
      <xdr:colOff>-38100</xdr:colOff>
      <xdr:row>45</xdr:row>
      <xdr:rowOff>-38100</xdr:rowOff>
    </xdr:to>
    <xdr:pic>
      <xdr:nvPicPr>
        <xdr:cNvPr id="62" name="Picture 62" descr="gQVWen">
          <a:extLst>
            <a:ext uri="{FF2B5EF4-FFF2-40B4-BE49-F238E27FC236}">
              <a16:creationId xmlns:a16="http://schemas.microsoft.com/office/drawing/2014/main" id="{00000000-0008-0000-0000-00003E000000}"/>
            </a:ext>
          </a:extLst>
        </xdr:cNvPr>
        <xdr:cNvPicPr>
          <a:picLocks/>
        </xdr:cNvPicPr>
      </xdr:nvPicPr>
      <xdr:blipFill>
        <a:blip xmlns:r="http://schemas.openxmlformats.org/officeDocument/2006/relationships" r:embed="rId61"/>
        <a:stretch>
          <a:fillRect/>
        </a:stretch>
      </xdr:blipFill>
      <xdr:spPr>
        <a:xfrm>
          <a:off x="0" y="0"/>
          <a:ext cx="0" cy="0"/>
        </a:xfrm>
        <a:prstGeom prst="rect">
          <a:avLst/>
        </a:prstGeom>
      </xdr:spPr>
    </xdr:pic>
    <xdr:clientData fLocksWithSheet="0"/>
  </xdr:twoCellAnchor>
  <xdr:twoCellAnchor>
    <xdr:from>
      <xdr:col>20</xdr:col>
      <xdr:colOff>38100</xdr:colOff>
      <xdr:row>104</xdr:row>
      <xdr:rowOff>38100</xdr:rowOff>
    </xdr:from>
    <xdr:to>
      <xdr:col>21</xdr:col>
      <xdr:colOff>-38100</xdr:colOff>
      <xdr:row>105</xdr:row>
      <xdr:rowOff>-38100</xdr:rowOff>
    </xdr:to>
    <xdr:pic>
      <xdr:nvPicPr>
        <xdr:cNvPr id="63" name="Picture 63" descr="PfPyZg">
          <a:extLst>
            <a:ext uri="{FF2B5EF4-FFF2-40B4-BE49-F238E27FC236}">
              <a16:creationId xmlns:a16="http://schemas.microsoft.com/office/drawing/2014/main" id="{00000000-0008-0000-0000-00003F000000}"/>
            </a:ext>
          </a:extLst>
        </xdr:cNvPr>
        <xdr:cNvPicPr>
          <a:picLocks/>
        </xdr:cNvPicPr>
      </xdr:nvPicPr>
      <xdr:blipFill>
        <a:blip xmlns:r="http://schemas.openxmlformats.org/officeDocument/2006/relationships" r:embed="rId62"/>
        <a:stretch>
          <a:fillRect/>
        </a:stretch>
      </xdr:blipFill>
      <xdr:spPr>
        <a:xfrm>
          <a:off x="0" y="0"/>
          <a:ext cx="0" cy="0"/>
        </a:xfrm>
        <a:prstGeom prst="rect">
          <a:avLst/>
        </a:prstGeom>
      </xdr:spPr>
    </xdr:pic>
    <xdr:clientData fLocksWithSheet="0"/>
  </xdr:twoCellAnchor>
  <xdr:twoCellAnchor>
    <xdr:from>
      <xdr:col>0</xdr:col>
      <xdr:colOff>38100</xdr:colOff>
      <xdr:row>104</xdr:row>
      <xdr:rowOff>38100</xdr:rowOff>
    </xdr:from>
    <xdr:to>
      <xdr:col>1</xdr:col>
      <xdr:colOff>-38100</xdr:colOff>
      <xdr:row>105</xdr:row>
      <xdr:rowOff>-38100</xdr:rowOff>
    </xdr:to>
    <xdr:pic>
      <xdr:nvPicPr>
        <xdr:cNvPr id="64" name="Picture 64" descr="XUCCgJ">
          <a:extLst>
            <a:ext uri="{FF2B5EF4-FFF2-40B4-BE49-F238E27FC236}">
              <a16:creationId xmlns:a16="http://schemas.microsoft.com/office/drawing/2014/main" id="{00000000-0008-0000-0000-000040000000}"/>
            </a:ext>
          </a:extLst>
        </xdr:cNvPr>
        <xdr:cNvPicPr>
          <a:picLocks/>
        </xdr:cNvPicPr>
      </xdr:nvPicPr>
      <xdr:blipFill>
        <a:blip xmlns:r="http://schemas.openxmlformats.org/officeDocument/2006/relationships" r:embed="rId63"/>
        <a:stretch>
          <a:fillRect/>
        </a:stretch>
      </xdr:blipFill>
      <xdr:spPr>
        <a:xfrm>
          <a:off x="0" y="0"/>
          <a:ext cx="0" cy="0"/>
        </a:xfrm>
        <a:prstGeom prst="rect">
          <a:avLst/>
        </a:prstGeom>
      </xdr:spPr>
    </xdr:pic>
    <xdr:clientData fLocksWithSheet="0"/>
  </xdr:twoCellAnchor>
  <xdr:twoCellAnchor>
    <xdr:from>
      <xdr:col>40</xdr:col>
      <xdr:colOff>38100</xdr:colOff>
      <xdr:row>104</xdr:row>
      <xdr:rowOff>38100</xdr:rowOff>
    </xdr:from>
    <xdr:to>
      <xdr:col>41</xdr:col>
      <xdr:colOff>-38100</xdr:colOff>
      <xdr:row>105</xdr:row>
      <xdr:rowOff>-38100</xdr:rowOff>
    </xdr:to>
    <xdr:pic>
      <xdr:nvPicPr>
        <xdr:cNvPr id="65" name="Picture 65" descr="kxLnUo">
          <a:extLst>
            <a:ext uri="{FF2B5EF4-FFF2-40B4-BE49-F238E27FC236}">
              <a16:creationId xmlns:a16="http://schemas.microsoft.com/office/drawing/2014/main" id="{00000000-0008-0000-0000-000041000000}"/>
            </a:ext>
          </a:extLst>
        </xdr:cNvPr>
        <xdr:cNvPicPr>
          <a:picLocks/>
        </xdr:cNvPicPr>
      </xdr:nvPicPr>
      <xdr:blipFill>
        <a:blip xmlns:r="http://schemas.openxmlformats.org/officeDocument/2006/relationships" r:embed="rId64"/>
        <a:stretch>
          <a:fillRect/>
        </a:stretch>
      </xdr:blipFill>
      <xdr:spPr>
        <a:xfrm>
          <a:off x="0" y="0"/>
          <a:ext cx="0" cy="0"/>
        </a:xfrm>
        <a:prstGeom prst="rect">
          <a:avLst/>
        </a:prstGeom>
      </xdr:spPr>
    </xdr:pic>
    <xdr:clientData fLocksWithSheet="0"/>
  </xdr:twoCellAnchor>
  <xdr:twoCellAnchor>
    <xdr:from>
      <xdr:col>10</xdr:col>
      <xdr:colOff>38100</xdr:colOff>
      <xdr:row>104</xdr:row>
      <xdr:rowOff>38100</xdr:rowOff>
    </xdr:from>
    <xdr:to>
      <xdr:col>11</xdr:col>
      <xdr:colOff>-38100</xdr:colOff>
      <xdr:row>105</xdr:row>
      <xdr:rowOff>-38100</xdr:rowOff>
    </xdr:to>
    <xdr:pic>
      <xdr:nvPicPr>
        <xdr:cNvPr id="66" name="Picture 66" descr="zMhFRc">
          <a:extLst>
            <a:ext uri="{FF2B5EF4-FFF2-40B4-BE49-F238E27FC236}">
              <a16:creationId xmlns:a16="http://schemas.microsoft.com/office/drawing/2014/main" id="{00000000-0008-0000-0000-000042000000}"/>
            </a:ext>
          </a:extLst>
        </xdr:cNvPr>
        <xdr:cNvPicPr>
          <a:picLocks/>
        </xdr:cNvPicPr>
      </xdr:nvPicPr>
      <xdr:blipFill>
        <a:blip xmlns:r="http://schemas.openxmlformats.org/officeDocument/2006/relationships" r:embed="rId65"/>
        <a:stretch>
          <a:fillRect/>
        </a:stretch>
      </xdr:blipFill>
      <xdr:spPr>
        <a:xfrm>
          <a:off x="0" y="0"/>
          <a:ext cx="0" cy="0"/>
        </a:xfrm>
        <a:prstGeom prst="rect">
          <a:avLst/>
        </a:prstGeom>
      </xdr:spPr>
    </xdr:pic>
    <xdr:clientData fLocksWithSheet="0"/>
  </xdr:twoCellAnchor>
  <xdr:twoCellAnchor>
    <xdr:from>
      <xdr:col>40</xdr:col>
      <xdr:colOff>38100</xdr:colOff>
      <xdr:row>56</xdr:row>
      <xdr:rowOff>38100</xdr:rowOff>
    </xdr:from>
    <xdr:to>
      <xdr:col>41</xdr:col>
      <xdr:colOff>-38100</xdr:colOff>
      <xdr:row>57</xdr:row>
      <xdr:rowOff>-38100</xdr:rowOff>
    </xdr:to>
    <xdr:pic>
      <xdr:nvPicPr>
        <xdr:cNvPr id="67" name="Picture 67" descr="kjYdUc">
          <a:extLst>
            <a:ext uri="{FF2B5EF4-FFF2-40B4-BE49-F238E27FC236}">
              <a16:creationId xmlns:a16="http://schemas.microsoft.com/office/drawing/2014/main" id="{00000000-0008-0000-0000-000043000000}"/>
            </a:ext>
          </a:extLst>
        </xdr:cNvPr>
        <xdr:cNvPicPr>
          <a:picLocks/>
        </xdr:cNvPicPr>
      </xdr:nvPicPr>
      <xdr:blipFill>
        <a:blip xmlns:r="http://schemas.openxmlformats.org/officeDocument/2006/relationships" r:embed="rId66"/>
        <a:stretch>
          <a:fillRect/>
        </a:stretch>
      </xdr:blipFill>
      <xdr:spPr>
        <a:xfrm>
          <a:off x="0" y="0"/>
          <a:ext cx="0" cy="0"/>
        </a:xfrm>
        <a:prstGeom prst="rect">
          <a:avLst/>
        </a:prstGeom>
      </xdr:spPr>
    </xdr:pic>
    <xdr:clientData fLocksWithSheet="0"/>
  </xdr:twoCellAnchor>
  <xdr:twoCellAnchor>
    <xdr:from>
      <xdr:col>20</xdr:col>
      <xdr:colOff>38100</xdr:colOff>
      <xdr:row>56</xdr:row>
      <xdr:rowOff>38100</xdr:rowOff>
    </xdr:from>
    <xdr:to>
      <xdr:col>21</xdr:col>
      <xdr:colOff>-38100</xdr:colOff>
      <xdr:row>57</xdr:row>
      <xdr:rowOff>-38100</xdr:rowOff>
    </xdr:to>
    <xdr:pic>
      <xdr:nvPicPr>
        <xdr:cNvPr id="68" name="Picture 68" descr="Hmfzcd">
          <a:extLst>
            <a:ext uri="{FF2B5EF4-FFF2-40B4-BE49-F238E27FC236}">
              <a16:creationId xmlns:a16="http://schemas.microsoft.com/office/drawing/2014/main" id="{00000000-0008-0000-0000-000044000000}"/>
            </a:ext>
          </a:extLst>
        </xdr:cNvPr>
        <xdr:cNvPicPr>
          <a:picLocks/>
        </xdr:cNvPicPr>
      </xdr:nvPicPr>
      <xdr:blipFill>
        <a:blip xmlns:r="http://schemas.openxmlformats.org/officeDocument/2006/relationships" r:embed="rId67"/>
        <a:stretch>
          <a:fillRect/>
        </a:stretch>
      </xdr:blipFill>
      <xdr:spPr>
        <a:xfrm>
          <a:off x="0" y="0"/>
          <a:ext cx="0" cy="0"/>
        </a:xfrm>
        <a:prstGeom prst="rect">
          <a:avLst/>
        </a:prstGeom>
      </xdr:spPr>
    </xdr:pic>
    <xdr:clientData fLocksWithSheet="0"/>
  </xdr:twoCellAnchor>
  <xdr:twoCellAnchor>
    <xdr:from>
      <xdr:col>30</xdr:col>
      <xdr:colOff>38100</xdr:colOff>
      <xdr:row>56</xdr:row>
      <xdr:rowOff>38100</xdr:rowOff>
    </xdr:from>
    <xdr:to>
      <xdr:col>31</xdr:col>
      <xdr:colOff>-38100</xdr:colOff>
      <xdr:row>57</xdr:row>
      <xdr:rowOff>-38100</xdr:rowOff>
    </xdr:to>
    <xdr:pic>
      <xdr:nvPicPr>
        <xdr:cNvPr id="69" name="Picture 69" descr="rvrJoP">
          <a:extLst>
            <a:ext uri="{FF2B5EF4-FFF2-40B4-BE49-F238E27FC236}">
              <a16:creationId xmlns:a16="http://schemas.microsoft.com/office/drawing/2014/main" id="{00000000-0008-0000-0000-000045000000}"/>
            </a:ext>
          </a:extLst>
        </xdr:cNvPr>
        <xdr:cNvPicPr>
          <a:picLocks/>
        </xdr:cNvPicPr>
      </xdr:nvPicPr>
      <xdr:blipFill>
        <a:blip xmlns:r="http://schemas.openxmlformats.org/officeDocument/2006/relationships" r:embed="rId68"/>
        <a:stretch>
          <a:fillRect/>
        </a:stretch>
      </xdr:blipFill>
      <xdr:spPr>
        <a:xfrm>
          <a:off x="0" y="0"/>
          <a:ext cx="0" cy="0"/>
        </a:xfrm>
        <a:prstGeom prst="rect">
          <a:avLst/>
        </a:prstGeom>
      </xdr:spPr>
    </xdr:pic>
    <xdr:clientData fLocksWithSheet="0"/>
  </xdr:twoCellAnchor>
  <xdr:twoCellAnchor>
    <xdr:from>
      <xdr:col>50</xdr:col>
      <xdr:colOff>38100</xdr:colOff>
      <xdr:row>56</xdr:row>
      <xdr:rowOff>38100</xdr:rowOff>
    </xdr:from>
    <xdr:to>
      <xdr:col>51</xdr:col>
      <xdr:colOff>-38100</xdr:colOff>
      <xdr:row>57</xdr:row>
      <xdr:rowOff>-38100</xdr:rowOff>
    </xdr:to>
    <xdr:pic>
      <xdr:nvPicPr>
        <xdr:cNvPr id="70" name="Picture 70" descr="sgOMDX">
          <a:extLst>
            <a:ext uri="{FF2B5EF4-FFF2-40B4-BE49-F238E27FC236}">
              <a16:creationId xmlns:a16="http://schemas.microsoft.com/office/drawing/2014/main" id="{00000000-0008-0000-0000-000046000000}"/>
            </a:ext>
          </a:extLst>
        </xdr:cNvPr>
        <xdr:cNvPicPr>
          <a:picLocks/>
        </xdr:cNvPicPr>
      </xdr:nvPicPr>
      <xdr:blipFill>
        <a:blip xmlns:r="http://schemas.openxmlformats.org/officeDocument/2006/relationships" r:embed="rId69"/>
        <a:stretch>
          <a:fillRect/>
        </a:stretch>
      </xdr:blipFill>
      <xdr:spPr>
        <a:xfrm>
          <a:off x="0" y="0"/>
          <a:ext cx="0" cy="0"/>
        </a:xfrm>
        <a:prstGeom prst="rect">
          <a:avLst/>
        </a:prstGeom>
      </xdr:spPr>
    </xdr:pic>
    <xdr:clientData fLocksWithSheet="0"/>
  </xdr:twoCellAnchor>
  <xdr:twoCellAnchor>
    <xdr:from>
      <xdr:col>0</xdr:col>
      <xdr:colOff>38100</xdr:colOff>
      <xdr:row>56</xdr:row>
      <xdr:rowOff>38100</xdr:rowOff>
    </xdr:from>
    <xdr:to>
      <xdr:col>1</xdr:col>
      <xdr:colOff>-38100</xdr:colOff>
      <xdr:row>57</xdr:row>
      <xdr:rowOff>-38100</xdr:rowOff>
    </xdr:to>
    <xdr:pic>
      <xdr:nvPicPr>
        <xdr:cNvPr id="71" name="Picture 71" descr="bRjypk">
          <a:extLst>
            <a:ext uri="{FF2B5EF4-FFF2-40B4-BE49-F238E27FC236}">
              <a16:creationId xmlns:a16="http://schemas.microsoft.com/office/drawing/2014/main" id="{00000000-0008-0000-0000-000047000000}"/>
            </a:ext>
          </a:extLst>
        </xdr:cNvPr>
        <xdr:cNvPicPr>
          <a:picLocks/>
        </xdr:cNvPicPr>
      </xdr:nvPicPr>
      <xdr:blipFill>
        <a:blip xmlns:r="http://schemas.openxmlformats.org/officeDocument/2006/relationships" r:embed="rId70"/>
        <a:stretch>
          <a:fillRect/>
        </a:stretch>
      </xdr:blipFill>
      <xdr:spPr>
        <a:xfrm>
          <a:off x="0" y="0"/>
          <a:ext cx="0" cy="0"/>
        </a:xfrm>
        <a:prstGeom prst="rect">
          <a:avLst/>
        </a:prstGeom>
      </xdr:spPr>
    </xdr:pic>
    <xdr:clientData fLocksWithSheet="0"/>
  </xdr:twoCellAnchor>
  <xdr:twoCellAnchor>
    <xdr:from>
      <xdr:col>10</xdr:col>
      <xdr:colOff>38100</xdr:colOff>
      <xdr:row>56</xdr:row>
      <xdr:rowOff>38100</xdr:rowOff>
    </xdr:from>
    <xdr:to>
      <xdr:col>11</xdr:col>
      <xdr:colOff>-38100</xdr:colOff>
      <xdr:row>57</xdr:row>
      <xdr:rowOff>-38100</xdr:rowOff>
    </xdr:to>
    <xdr:pic>
      <xdr:nvPicPr>
        <xdr:cNvPr id="72" name="Picture 72" descr="HVvLVn">
          <a:extLst>
            <a:ext uri="{FF2B5EF4-FFF2-40B4-BE49-F238E27FC236}">
              <a16:creationId xmlns:a16="http://schemas.microsoft.com/office/drawing/2014/main" id="{00000000-0008-0000-0000-000048000000}"/>
            </a:ext>
          </a:extLst>
        </xdr:cNvPr>
        <xdr:cNvPicPr>
          <a:picLocks/>
        </xdr:cNvPicPr>
      </xdr:nvPicPr>
      <xdr:blipFill>
        <a:blip xmlns:r="http://schemas.openxmlformats.org/officeDocument/2006/relationships" r:embed="rId71"/>
        <a:stretch>
          <a:fillRect/>
        </a:stretch>
      </xdr:blipFill>
      <xdr:spPr>
        <a:xfrm>
          <a:off x="0" y="0"/>
          <a:ext cx="0" cy="0"/>
        </a:xfrm>
        <a:prstGeom prst="rect">
          <a:avLst/>
        </a:prstGeom>
      </xdr:spPr>
    </xdr:pic>
    <xdr:clientData fLocksWithSheet="0"/>
  </xdr:twoCellAnchor>
  <xdr:twoCellAnchor>
    <xdr:from>
      <xdr:col>30</xdr:col>
      <xdr:colOff>38100</xdr:colOff>
      <xdr:row>2</xdr:row>
      <xdr:rowOff>38100</xdr:rowOff>
    </xdr:from>
    <xdr:to>
      <xdr:col>31</xdr:col>
      <xdr:colOff>-38100</xdr:colOff>
      <xdr:row>3</xdr:row>
      <xdr:rowOff>-38100</xdr:rowOff>
    </xdr:to>
    <xdr:pic>
      <xdr:nvPicPr>
        <xdr:cNvPr id="73" name="Picture 73" descr="klaEIW">
          <a:extLst>
            <a:ext uri="{FF2B5EF4-FFF2-40B4-BE49-F238E27FC236}">
              <a16:creationId xmlns:a16="http://schemas.microsoft.com/office/drawing/2014/main" id="{00000000-0008-0000-0000-000049000000}"/>
            </a:ext>
          </a:extLst>
        </xdr:cNvPr>
        <xdr:cNvPicPr>
          <a:picLocks/>
        </xdr:cNvPicPr>
      </xdr:nvPicPr>
      <xdr:blipFill>
        <a:blip xmlns:r="http://schemas.openxmlformats.org/officeDocument/2006/relationships" r:embed="rId72"/>
        <a:stretch>
          <a:fillRect/>
        </a:stretch>
      </xdr:blipFill>
      <xdr:spPr>
        <a:xfrm>
          <a:off x="0" y="0"/>
          <a:ext cx="0" cy="0"/>
        </a:xfrm>
        <a:prstGeom prst="rect">
          <a:avLst/>
        </a:prstGeom>
      </xdr:spPr>
    </xdr:pic>
    <xdr:clientData fLocksWithSheet="0"/>
  </xdr:twoCellAnchor>
  <xdr:twoCellAnchor>
    <xdr:from>
      <xdr:col>40</xdr:col>
      <xdr:colOff>38100</xdr:colOff>
      <xdr:row>2</xdr:row>
      <xdr:rowOff>38100</xdr:rowOff>
    </xdr:from>
    <xdr:to>
      <xdr:col>41</xdr:col>
      <xdr:colOff>-38100</xdr:colOff>
      <xdr:row>3</xdr:row>
      <xdr:rowOff>-38100</xdr:rowOff>
    </xdr:to>
    <xdr:pic>
      <xdr:nvPicPr>
        <xdr:cNvPr id="74" name="Picture 74" descr="vFhUgI">
          <a:extLst>
            <a:ext uri="{FF2B5EF4-FFF2-40B4-BE49-F238E27FC236}">
              <a16:creationId xmlns:a16="http://schemas.microsoft.com/office/drawing/2014/main" id="{00000000-0008-0000-0000-00004A000000}"/>
            </a:ext>
          </a:extLst>
        </xdr:cNvPr>
        <xdr:cNvPicPr>
          <a:picLocks/>
        </xdr:cNvPicPr>
      </xdr:nvPicPr>
      <xdr:blipFill>
        <a:blip xmlns:r="http://schemas.openxmlformats.org/officeDocument/2006/relationships" r:embed="rId73"/>
        <a:stretch>
          <a:fillRect/>
        </a:stretch>
      </xdr:blipFill>
      <xdr:spPr>
        <a:xfrm>
          <a:off x="0" y="0"/>
          <a:ext cx="0" cy="0"/>
        </a:xfrm>
        <a:prstGeom prst="rect">
          <a:avLst/>
        </a:prstGeom>
      </xdr:spPr>
    </xdr:pic>
    <xdr:clientData fLocksWithSheet="0"/>
  </xdr:twoCellAnchor>
  <xdr:twoCellAnchor>
    <xdr:from>
      <xdr:col>50</xdr:col>
      <xdr:colOff>38100</xdr:colOff>
      <xdr:row>2</xdr:row>
      <xdr:rowOff>38100</xdr:rowOff>
    </xdr:from>
    <xdr:to>
      <xdr:col>51</xdr:col>
      <xdr:colOff>-38100</xdr:colOff>
      <xdr:row>3</xdr:row>
      <xdr:rowOff>-38100</xdr:rowOff>
    </xdr:to>
    <xdr:pic>
      <xdr:nvPicPr>
        <xdr:cNvPr id="75" name="Picture 75" descr="nNtSSu">
          <a:extLst>
            <a:ext uri="{FF2B5EF4-FFF2-40B4-BE49-F238E27FC236}">
              <a16:creationId xmlns:a16="http://schemas.microsoft.com/office/drawing/2014/main" id="{00000000-0008-0000-0000-00004B000000}"/>
            </a:ext>
          </a:extLst>
        </xdr:cNvPr>
        <xdr:cNvPicPr>
          <a:picLocks/>
        </xdr:cNvPicPr>
      </xdr:nvPicPr>
      <xdr:blipFill>
        <a:blip xmlns:r="http://schemas.openxmlformats.org/officeDocument/2006/relationships" r:embed="rId74"/>
        <a:stretch>
          <a:fillRect/>
        </a:stretch>
      </xdr:blipFill>
      <xdr:spPr>
        <a:xfrm>
          <a:off x="0" y="0"/>
          <a:ext cx="0" cy="0"/>
        </a:xfrm>
        <a:prstGeom prst="rect">
          <a:avLst/>
        </a:prstGeom>
      </xdr:spPr>
    </xdr:pic>
    <xdr:clientData fLocksWithSheet="0"/>
  </xdr:twoCellAnchor>
  <xdr:twoCellAnchor>
    <xdr:from>
      <xdr:col>10</xdr:col>
      <xdr:colOff>38100</xdr:colOff>
      <xdr:row>2</xdr:row>
      <xdr:rowOff>38100</xdr:rowOff>
    </xdr:from>
    <xdr:to>
      <xdr:col>11</xdr:col>
      <xdr:colOff>-38100</xdr:colOff>
      <xdr:row>3</xdr:row>
      <xdr:rowOff>-38100</xdr:rowOff>
    </xdr:to>
    <xdr:pic>
      <xdr:nvPicPr>
        <xdr:cNvPr id="76" name="Picture 76" descr="kaOsrx">
          <a:extLst>
            <a:ext uri="{FF2B5EF4-FFF2-40B4-BE49-F238E27FC236}">
              <a16:creationId xmlns:a16="http://schemas.microsoft.com/office/drawing/2014/main" id="{00000000-0008-0000-0000-00004C000000}"/>
            </a:ext>
          </a:extLst>
        </xdr:cNvPr>
        <xdr:cNvPicPr>
          <a:picLocks/>
        </xdr:cNvPicPr>
      </xdr:nvPicPr>
      <xdr:blipFill>
        <a:blip xmlns:r="http://schemas.openxmlformats.org/officeDocument/2006/relationships" r:embed="rId75"/>
        <a:stretch>
          <a:fillRect/>
        </a:stretch>
      </xdr:blipFill>
      <xdr:spPr>
        <a:xfrm>
          <a:off x="0" y="0"/>
          <a:ext cx="0" cy="0"/>
        </a:xfrm>
        <a:prstGeom prst="rect">
          <a:avLst/>
        </a:prstGeom>
      </xdr:spPr>
    </xdr:pic>
    <xdr:clientData fLocksWithSheet="0"/>
  </xdr:twoCellAnchor>
  <xdr:twoCellAnchor>
    <xdr:from>
      <xdr:col>0</xdr:col>
      <xdr:colOff>38100</xdr:colOff>
      <xdr:row>2</xdr:row>
      <xdr:rowOff>38100</xdr:rowOff>
    </xdr:from>
    <xdr:to>
      <xdr:col>1</xdr:col>
      <xdr:colOff>-38100</xdr:colOff>
      <xdr:row>3</xdr:row>
      <xdr:rowOff>-38100</xdr:rowOff>
    </xdr:to>
    <xdr:pic>
      <xdr:nvPicPr>
        <xdr:cNvPr id="77" name="Picture 77" descr="CPOYOi">
          <a:extLst>
            <a:ext uri="{FF2B5EF4-FFF2-40B4-BE49-F238E27FC236}">
              <a16:creationId xmlns:a16="http://schemas.microsoft.com/office/drawing/2014/main" id="{00000000-0008-0000-0000-00004D000000}"/>
            </a:ext>
          </a:extLst>
        </xdr:cNvPr>
        <xdr:cNvPicPr>
          <a:picLocks/>
        </xdr:cNvPicPr>
      </xdr:nvPicPr>
      <xdr:blipFill>
        <a:blip xmlns:r="http://schemas.openxmlformats.org/officeDocument/2006/relationships" r:embed="rId76"/>
        <a:stretch>
          <a:fillRect/>
        </a:stretch>
      </xdr:blipFill>
      <xdr:spPr>
        <a:xfrm>
          <a:off x="0" y="0"/>
          <a:ext cx="0" cy="0"/>
        </a:xfrm>
        <a:prstGeom prst="rect">
          <a:avLst/>
        </a:prstGeom>
      </xdr:spPr>
    </xdr:pic>
    <xdr:clientData fLocksWithSheet="0"/>
  </xdr:twoCellAnchor>
  <xdr:twoCellAnchor>
    <xdr:from>
      <xdr:col>20</xdr:col>
      <xdr:colOff>38100</xdr:colOff>
      <xdr:row>2</xdr:row>
      <xdr:rowOff>38100</xdr:rowOff>
    </xdr:from>
    <xdr:to>
      <xdr:col>21</xdr:col>
      <xdr:colOff>-38100</xdr:colOff>
      <xdr:row>3</xdr:row>
      <xdr:rowOff>-38100</xdr:rowOff>
    </xdr:to>
    <xdr:pic>
      <xdr:nvPicPr>
        <xdr:cNvPr id="78" name="Picture 78" descr="TXHosH">
          <a:extLst>
            <a:ext uri="{FF2B5EF4-FFF2-40B4-BE49-F238E27FC236}">
              <a16:creationId xmlns:a16="http://schemas.microsoft.com/office/drawing/2014/main" id="{00000000-0008-0000-0000-00004E000000}"/>
            </a:ext>
          </a:extLst>
        </xdr:cNvPr>
        <xdr:cNvPicPr>
          <a:picLocks/>
        </xdr:cNvPicPr>
      </xdr:nvPicPr>
      <xdr:blipFill>
        <a:blip xmlns:r="http://schemas.openxmlformats.org/officeDocument/2006/relationships" r:embed="rId77"/>
        <a:stretch>
          <a:fillRect/>
        </a:stretch>
      </xdr:blipFill>
      <xdr:spPr>
        <a:xfrm>
          <a:off x="0" y="0"/>
          <a:ext cx="0" cy="0"/>
        </a:xfrm>
        <a:prstGeom prst="rect">
          <a:avLst/>
        </a:prstGeom>
      </xdr:spPr>
    </xdr:pic>
    <xdr:clientData fLocksWithSheet="0"/>
  </xdr:twoCellAnchor>
  <xdr:twoCellAnchor>
    <xdr:from>
      <xdr:col>10</xdr:col>
      <xdr:colOff>38100</xdr:colOff>
      <xdr:row>80</xdr:row>
      <xdr:rowOff>38100</xdr:rowOff>
    </xdr:from>
    <xdr:to>
      <xdr:col>11</xdr:col>
      <xdr:colOff>-38100</xdr:colOff>
      <xdr:row>81</xdr:row>
      <xdr:rowOff>-38100</xdr:rowOff>
    </xdr:to>
    <xdr:pic>
      <xdr:nvPicPr>
        <xdr:cNvPr id="79" name="Picture 79" descr="IXSYcW">
          <a:extLst>
            <a:ext uri="{FF2B5EF4-FFF2-40B4-BE49-F238E27FC236}">
              <a16:creationId xmlns:a16="http://schemas.microsoft.com/office/drawing/2014/main" id="{00000000-0008-0000-0000-00004F000000}"/>
            </a:ext>
          </a:extLst>
        </xdr:cNvPr>
        <xdr:cNvPicPr>
          <a:picLocks/>
        </xdr:cNvPicPr>
      </xdr:nvPicPr>
      <xdr:blipFill>
        <a:blip xmlns:r="http://schemas.openxmlformats.org/officeDocument/2006/relationships" r:embed="rId78"/>
        <a:stretch>
          <a:fillRect/>
        </a:stretch>
      </xdr:blipFill>
      <xdr:spPr>
        <a:xfrm>
          <a:off x="0" y="0"/>
          <a:ext cx="0" cy="0"/>
        </a:xfrm>
        <a:prstGeom prst="rect">
          <a:avLst/>
        </a:prstGeom>
      </xdr:spPr>
    </xdr:pic>
    <xdr:clientData fLocksWithSheet="0"/>
  </xdr:twoCellAnchor>
  <xdr:twoCellAnchor>
    <xdr:from>
      <xdr:col>40</xdr:col>
      <xdr:colOff>38100</xdr:colOff>
      <xdr:row>80</xdr:row>
      <xdr:rowOff>38100</xdr:rowOff>
    </xdr:from>
    <xdr:to>
      <xdr:col>41</xdr:col>
      <xdr:colOff>-38100</xdr:colOff>
      <xdr:row>81</xdr:row>
      <xdr:rowOff>-38100</xdr:rowOff>
    </xdr:to>
    <xdr:pic>
      <xdr:nvPicPr>
        <xdr:cNvPr id="80" name="Picture 80" descr="zHadRS">
          <a:extLst>
            <a:ext uri="{FF2B5EF4-FFF2-40B4-BE49-F238E27FC236}">
              <a16:creationId xmlns:a16="http://schemas.microsoft.com/office/drawing/2014/main" id="{00000000-0008-0000-0000-000050000000}"/>
            </a:ext>
          </a:extLst>
        </xdr:cNvPr>
        <xdr:cNvPicPr>
          <a:picLocks/>
        </xdr:cNvPicPr>
      </xdr:nvPicPr>
      <xdr:blipFill>
        <a:blip xmlns:r="http://schemas.openxmlformats.org/officeDocument/2006/relationships" r:embed="rId79"/>
        <a:stretch>
          <a:fillRect/>
        </a:stretch>
      </xdr:blipFill>
      <xdr:spPr>
        <a:xfrm>
          <a:off x="0" y="0"/>
          <a:ext cx="0" cy="0"/>
        </a:xfrm>
        <a:prstGeom prst="rect">
          <a:avLst/>
        </a:prstGeom>
      </xdr:spPr>
    </xdr:pic>
    <xdr:clientData fLocksWithSheet="0"/>
  </xdr:twoCellAnchor>
  <xdr:twoCellAnchor>
    <xdr:from>
      <xdr:col>20</xdr:col>
      <xdr:colOff>38100</xdr:colOff>
      <xdr:row>80</xdr:row>
      <xdr:rowOff>38100</xdr:rowOff>
    </xdr:from>
    <xdr:to>
      <xdr:col>21</xdr:col>
      <xdr:colOff>-38100</xdr:colOff>
      <xdr:row>81</xdr:row>
      <xdr:rowOff>-38100</xdr:rowOff>
    </xdr:to>
    <xdr:pic>
      <xdr:nvPicPr>
        <xdr:cNvPr id="81" name="Picture 81" descr="MGKXGU">
          <a:extLst>
            <a:ext uri="{FF2B5EF4-FFF2-40B4-BE49-F238E27FC236}">
              <a16:creationId xmlns:a16="http://schemas.microsoft.com/office/drawing/2014/main" id="{00000000-0008-0000-0000-000051000000}"/>
            </a:ext>
          </a:extLst>
        </xdr:cNvPr>
        <xdr:cNvPicPr>
          <a:picLocks/>
        </xdr:cNvPicPr>
      </xdr:nvPicPr>
      <xdr:blipFill>
        <a:blip xmlns:r="http://schemas.openxmlformats.org/officeDocument/2006/relationships" r:embed="rId80"/>
        <a:stretch>
          <a:fillRect/>
        </a:stretch>
      </xdr:blipFill>
      <xdr:spPr>
        <a:xfrm>
          <a:off x="0" y="0"/>
          <a:ext cx="0" cy="0"/>
        </a:xfrm>
        <a:prstGeom prst="rect">
          <a:avLst/>
        </a:prstGeom>
      </xdr:spPr>
    </xdr:pic>
    <xdr:clientData fLocksWithSheet="0"/>
  </xdr:twoCellAnchor>
  <xdr:twoCellAnchor>
    <xdr:from>
      <xdr:col>30</xdr:col>
      <xdr:colOff>38100</xdr:colOff>
      <xdr:row>80</xdr:row>
      <xdr:rowOff>38100</xdr:rowOff>
    </xdr:from>
    <xdr:to>
      <xdr:col>31</xdr:col>
      <xdr:colOff>-38100</xdr:colOff>
      <xdr:row>81</xdr:row>
      <xdr:rowOff>-38100</xdr:rowOff>
    </xdr:to>
    <xdr:pic>
      <xdr:nvPicPr>
        <xdr:cNvPr id="82" name="Picture 82" descr="SGAEJq">
          <a:extLst>
            <a:ext uri="{FF2B5EF4-FFF2-40B4-BE49-F238E27FC236}">
              <a16:creationId xmlns:a16="http://schemas.microsoft.com/office/drawing/2014/main" id="{00000000-0008-0000-0000-000052000000}"/>
            </a:ext>
          </a:extLst>
        </xdr:cNvPr>
        <xdr:cNvPicPr>
          <a:picLocks/>
        </xdr:cNvPicPr>
      </xdr:nvPicPr>
      <xdr:blipFill>
        <a:blip xmlns:r="http://schemas.openxmlformats.org/officeDocument/2006/relationships" r:embed="rId81"/>
        <a:stretch>
          <a:fillRect/>
        </a:stretch>
      </xdr:blipFill>
      <xdr:spPr>
        <a:xfrm>
          <a:off x="0" y="0"/>
          <a:ext cx="0" cy="0"/>
        </a:xfrm>
        <a:prstGeom prst="rect">
          <a:avLst/>
        </a:prstGeom>
      </xdr:spPr>
    </xdr:pic>
    <xdr:clientData fLocksWithSheet="0"/>
  </xdr:twoCellAnchor>
  <xdr:twoCellAnchor>
    <xdr:from>
      <xdr:col>50</xdr:col>
      <xdr:colOff>38100</xdr:colOff>
      <xdr:row>80</xdr:row>
      <xdr:rowOff>38100</xdr:rowOff>
    </xdr:from>
    <xdr:to>
      <xdr:col>51</xdr:col>
      <xdr:colOff>-38100</xdr:colOff>
      <xdr:row>81</xdr:row>
      <xdr:rowOff>-38100</xdr:rowOff>
    </xdr:to>
    <xdr:pic>
      <xdr:nvPicPr>
        <xdr:cNvPr id="83" name="Picture 83" descr="Hrajxj">
          <a:extLst>
            <a:ext uri="{FF2B5EF4-FFF2-40B4-BE49-F238E27FC236}">
              <a16:creationId xmlns:a16="http://schemas.microsoft.com/office/drawing/2014/main" id="{00000000-0008-0000-0000-000053000000}"/>
            </a:ext>
          </a:extLst>
        </xdr:cNvPr>
        <xdr:cNvPicPr>
          <a:picLocks/>
        </xdr:cNvPicPr>
      </xdr:nvPicPr>
      <xdr:blipFill>
        <a:blip xmlns:r="http://schemas.openxmlformats.org/officeDocument/2006/relationships" r:embed="rId82"/>
        <a:stretch>
          <a:fillRect/>
        </a:stretch>
      </xdr:blipFill>
      <xdr:spPr>
        <a:xfrm>
          <a:off x="0" y="0"/>
          <a:ext cx="0" cy="0"/>
        </a:xfrm>
        <a:prstGeom prst="rect">
          <a:avLst/>
        </a:prstGeom>
      </xdr:spPr>
    </xdr:pic>
    <xdr:clientData fLocksWithSheet="0"/>
  </xdr:twoCellAnchor>
  <xdr:twoCellAnchor>
    <xdr:from>
      <xdr:col>0</xdr:col>
      <xdr:colOff>38100</xdr:colOff>
      <xdr:row>80</xdr:row>
      <xdr:rowOff>38100</xdr:rowOff>
    </xdr:from>
    <xdr:to>
      <xdr:col>1</xdr:col>
      <xdr:colOff>-38100</xdr:colOff>
      <xdr:row>81</xdr:row>
      <xdr:rowOff>-38100</xdr:rowOff>
    </xdr:to>
    <xdr:pic>
      <xdr:nvPicPr>
        <xdr:cNvPr id="84" name="Picture 84" descr="SikMvq">
          <a:extLst>
            <a:ext uri="{FF2B5EF4-FFF2-40B4-BE49-F238E27FC236}">
              <a16:creationId xmlns:a16="http://schemas.microsoft.com/office/drawing/2014/main" id="{00000000-0008-0000-0000-000054000000}"/>
            </a:ext>
          </a:extLst>
        </xdr:cNvPr>
        <xdr:cNvPicPr>
          <a:picLocks/>
        </xdr:cNvPicPr>
      </xdr:nvPicPr>
      <xdr:blipFill>
        <a:blip xmlns:r="http://schemas.openxmlformats.org/officeDocument/2006/relationships" r:embed="rId83"/>
        <a:stretch>
          <a:fillRect/>
        </a:stretch>
      </xdr:blipFill>
      <xdr:spPr>
        <a:xfrm>
          <a:off x="0" y="0"/>
          <a:ext cx="0" cy="0"/>
        </a:xfrm>
        <a:prstGeom prst="rect">
          <a:avLst/>
        </a:prstGeom>
      </xdr:spPr>
    </xdr:pic>
    <xdr:clientData fLocksWithSheet="0"/>
  </xdr:twoCellAnchor>
  <xdr:twoCellAnchor>
    <xdr:from>
      <xdr:col>20</xdr:col>
      <xdr:colOff>38100</xdr:colOff>
      <xdr:row>128</xdr:row>
      <xdr:rowOff>38100</xdr:rowOff>
    </xdr:from>
    <xdr:to>
      <xdr:col>21</xdr:col>
      <xdr:colOff>-38100</xdr:colOff>
      <xdr:row>129</xdr:row>
      <xdr:rowOff>-38100</xdr:rowOff>
    </xdr:to>
    <xdr:pic>
      <xdr:nvPicPr>
        <xdr:cNvPr id="85" name="Picture 85" descr="vXvqAz">
          <a:extLst>
            <a:ext uri="{FF2B5EF4-FFF2-40B4-BE49-F238E27FC236}">
              <a16:creationId xmlns:a16="http://schemas.microsoft.com/office/drawing/2014/main" id="{00000000-0008-0000-0000-000055000000}"/>
            </a:ext>
          </a:extLst>
        </xdr:cNvPr>
        <xdr:cNvPicPr>
          <a:picLocks/>
        </xdr:cNvPicPr>
      </xdr:nvPicPr>
      <xdr:blipFill>
        <a:blip xmlns:r="http://schemas.openxmlformats.org/officeDocument/2006/relationships" r:embed="rId84"/>
        <a:stretch>
          <a:fillRect/>
        </a:stretch>
      </xdr:blipFill>
      <xdr:spPr>
        <a:xfrm>
          <a:off x="0" y="0"/>
          <a:ext cx="0" cy="0"/>
        </a:xfrm>
        <a:prstGeom prst="rect">
          <a:avLst/>
        </a:prstGeom>
      </xdr:spPr>
    </xdr:pic>
    <xdr:clientData fLocksWithSheet="0"/>
  </xdr:twoCellAnchor>
  <xdr:twoCellAnchor>
    <xdr:from>
      <xdr:col>10</xdr:col>
      <xdr:colOff>38100</xdr:colOff>
      <xdr:row>122</xdr:row>
      <xdr:rowOff>38100</xdr:rowOff>
    </xdr:from>
    <xdr:to>
      <xdr:col>11</xdr:col>
      <xdr:colOff>-38100</xdr:colOff>
      <xdr:row>123</xdr:row>
      <xdr:rowOff>-38100</xdr:rowOff>
    </xdr:to>
    <xdr:pic>
      <xdr:nvPicPr>
        <xdr:cNvPr id="86" name="Picture 86" descr="scVJVY">
          <a:extLst>
            <a:ext uri="{FF2B5EF4-FFF2-40B4-BE49-F238E27FC236}">
              <a16:creationId xmlns:a16="http://schemas.microsoft.com/office/drawing/2014/main" id="{00000000-0008-0000-0000-000056000000}"/>
            </a:ext>
          </a:extLst>
        </xdr:cNvPr>
        <xdr:cNvPicPr>
          <a:picLocks/>
        </xdr:cNvPicPr>
      </xdr:nvPicPr>
      <xdr:blipFill>
        <a:blip xmlns:r="http://schemas.openxmlformats.org/officeDocument/2006/relationships" r:embed="rId85"/>
        <a:stretch>
          <a:fillRect/>
        </a:stretch>
      </xdr:blipFill>
      <xdr:spPr>
        <a:xfrm>
          <a:off x="0" y="0"/>
          <a:ext cx="0" cy="0"/>
        </a:xfrm>
        <a:prstGeom prst="rect">
          <a:avLst/>
        </a:prstGeom>
      </xdr:spPr>
    </xdr:pic>
    <xdr:clientData fLocksWithSheet="0"/>
  </xdr:twoCellAnchor>
  <xdr:twoCellAnchor>
    <xdr:from>
      <xdr:col>20</xdr:col>
      <xdr:colOff>38100</xdr:colOff>
      <xdr:row>122</xdr:row>
      <xdr:rowOff>38100</xdr:rowOff>
    </xdr:from>
    <xdr:to>
      <xdr:col>21</xdr:col>
      <xdr:colOff>-38100</xdr:colOff>
      <xdr:row>123</xdr:row>
      <xdr:rowOff>-38100</xdr:rowOff>
    </xdr:to>
    <xdr:pic>
      <xdr:nvPicPr>
        <xdr:cNvPr id="87" name="Picture 87" descr="TNyVzT">
          <a:extLst>
            <a:ext uri="{FF2B5EF4-FFF2-40B4-BE49-F238E27FC236}">
              <a16:creationId xmlns:a16="http://schemas.microsoft.com/office/drawing/2014/main" id="{00000000-0008-0000-0000-000057000000}"/>
            </a:ext>
          </a:extLst>
        </xdr:cNvPr>
        <xdr:cNvPicPr>
          <a:picLocks/>
        </xdr:cNvPicPr>
      </xdr:nvPicPr>
      <xdr:blipFill>
        <a:blip xmlns:r="http://schemas.openxmlformats.org/officeDocument/2006/relationships" r:embed="rId86"/>
        <a:stretch>
          <a:fillRect/>
        </a:stretch>
      </xdr:blipFill>
      <xdr:spPr>
        <a:xfrm>
          <a:off x="0" y="0"/>
          <a:ext cx="0" cy="0"/>
        </a:xfrm>
        <a:prstGeom prst="rect">
          <a:avLst/>
        </a:prstGeom>
      </xdr:spPr>
    </xdr:pic>
    <xdr:clientData fLocksWithSheet="0"/>
  </xdr:twoCellAnchor>
  <xdr:twoCellAnchor>
    <xdr:from>
      <xdr:col>20</xdr:col>
      <xdr:colOff>38100</xdr:colOff>
      <xdr:row>32</xdr:row>
      <xdr:rowOff>38100</xdr:rowOff>
    </xdr:from>
    <xdr:to>
      <xdr:col>21</xdr:col>
      <xdr:colOff>-38100</xdr:colOff>
      <xdr:row>33</xdr:row>
      <xdr:rowOff>-38100</xdr:rowOff>
    </xdr:to>
    <xdr:pic>
      <xdr:nvPicPr>
        <xdr:cNvPr id="88" name="Picture 88" descr="kdSkyz">
          <a:extLst>
            <a:ext uri="{FF2B5EF4-FFF2-40B4-BE49-F238E27FC236}">
              <a16:creationId xmlns:a16="http://schemas.microsoft.com/office/drawing/2014/main" id="{00000000-0008-0000-0000-000058000000}"/>
            </a:ext>
          </a:extLst>
        </xdr:cNvPr>
        <xdr:cNvPicPr>
          <a:picLocks/>
        </xdr:cNvPicPr>
      </xdr:nvPicPr>
      <xdr:blipFill>
        <a:blip xmlns:r="http://schemas.openxmlformats.org/officeDocument/2006/relationships" r:embed="rId87"/>
        <a:stretch>
          <a:fillRect/>
        </a:stretch>
      </xdr:blipFill>
      <xdr:spPr>
        <a:xfrm>
          <a:off x="0" y="0"/>
          <a:ext cx="0" cy="0"/>
        </a:xfrm>
        <a:prstGeom prst="rect">
          <a:avLst/>
        </a:prstGeom>
      </xdr:spPr>
    </xdr:pic>
    <xdr:clientData fLocksWithSheet="0"/>
  </xdr:twoCellAnchor>
  <xdr:twoCellAnchor>
    <xdr:from>
      <xdr:col>0</xdr:col>
      <xdr:colOff>38100</xdr:colOff>
      <xdr:row>32</xdr:row>
      <xdr:rowOff>38100</xdr:rowOff>
    </xdr:from>
    <xdr:to>
      <xdr:col>1</xdr:col>
      <xdr:colOff>-38100</xdr:colOff>
      <xdr:row>33</xdr:row>
      <xdr:rowOff>-38100</xdr:rowOff>
    </xdr:to>
    <xdr:pic>
      <xdr:nvPicPr>
        <xdr:cNvPr id="89" name="Picture 89" descr="SrNcSl">
          <a:extLst>
            <a:ext uri="{FF2B5EF4-FFF2-40B4-BE49-F238E27FC236}">
              <a16:creationId xmlns:a16="http://schemas.microsoft.com/office/drawing/2014/main" id="{00000000-0008-0000-0000-000059000000}"/>
            </a:ext>
          </a:extLst>
        </xdr:cNvPr>
        <xdr:cNvPicPr>
          <a:picLocks/>
        </xdr:cNvPicPr>
      </xdr:nvPicPr>
      <xdr:blipFill>
        <a:blip xmlns:r="http://schemas.openxmlformats.org/officeDocument/2006/relationships" r:embed="rId88"/>
        <a:stretch>
          <a:fillRect/>
        </a:stretch>
      </xdr:blipFill>
      <xdr:spPr>
        <a:xfrm>
          <a:off x="0" y="0"/>
          <a:ext cx="0" cy="0"/>
        </a:xfrm>
        <a:prstGeom prst="rect">
          <a:avLst/>
        </a:prstGeom>
      </xdr:spPr>
    </xdr:pic>
    <xdr:clientData fLocksWithSheet="0"/>
  </xdr:twoCellAnchor>
  <xdr:twoCellAnchor>
    <xdr:from>
      <xdr:col>50</xdr:col>
      <xdr:colOff>38100</xdr:colOff>
      <xdr:row>32</xdr:row>
      <xdr:rowOff>38100</xdr:rowOff>
    </xdr:from>
    <xdr:to>
      <xdr:col>51</xdr:col>
      <xdr:colOff>-38100</xdr:colOff>
      <xdr:row>33</xdr:row>
      <xdr:rowOff>-38100</xdr:rowOff>
    </xdr:to>
    <xdr:pic>
      <xdr:nvPicPr>
        <xdr:cNvPr id="90" name="Picture 90" descr="ihoBmh">
          <a:extLst>
            <a:ext uri="{FF2B5EF4-FFF2-40B4-BE49-F238E27FC236}">
              <a16:creationId xmlns:a16="http://schemas.microsoft.com/office/drawing/2014/main" id="{00000000-0008-0000-0000-00005A000000}"/>
            </a:ext>
          </a:extLst>
        </xdr:cNvPr>
        <xdr:cNvPicPr>
          <a:picLocks/>
        </xdr:cNvPicPr>
      </xdr:nvPicPr>
      <xdr:blipFill>
        <a:blip xmlns:r="http://schemas.openxmlformats.org/officeDocument/2006/relationships" r:embed="rId89"/>
        <a:stretch>
          <a:fillRect/>
        </a:stretch>
      </xdr:blipFill>
      <xdr:spPr>
        <a:xfrm>
          <a:off x="0" y="0"/>
          <a:ext cx="0" cy="0"/>
        </a:xfrm>
        <a:prstGeom prst="rect">
          <a:avLst/>
        </a:prstGeom>
      </xdr:spPr>
    </xdr:pic>
    <xdr:clientData fLocksWithSheet="0"/>
  </xdr:twoCellAnchor>
  <xdr:twoCellAnchor>
    <xdr:from>
      <xdr:col>10</xdr:col>
      <xdr:colOff>38100</xdr:colOff>
      <xdr:row>32</xdr:row>
      <xdr:rowOff>38100</xdr:rowOff>
    </xdr:from>
    <xdr:to>
      <xdr:col>11</xdr:col>
      <xdr:colOff>-38100</xdr:colOff>
      <xdr:row>33</xdr:row>
      <xdr:rowOff>-38100</xdr:rowOff>
    </xdr:to>
    <xdr:pic>
      <xdr:nvPicPr>
        <xdr:cNvPr id="91" name="Picture 91" descr="fqQzCF">
          <a:extLst>
            <a:ext uri="{FF2B5EF4-FFF2-40B4-BE49-F238E27FC236}">
              <a16:creationId xmlns:a16="http://schemas.microsoft.com/office/drawing/2014/main" id="{00000000-0008-0000-0000-00005B000000}"/>
            </a:ext>
          </a:extLst>
        </xdr:cNvPr>
        <xdr:cNvPicPr>
          <a:picLocks/>
        </xdr:cNvPicPr>
      </xdr:nvPicPr>
      <xdr:blipFill>
        <a:blip xmlns:r="http://schemas.openxmlformats.org/officeDocument/2006/relationships" r:embed="rId90"/>
        <a:stretch>
          <a:fillRect/>
        </a:stretch>
      </xdr:blipFill>
      <xdr:spPr>
        <a:xfrm>
          <a:off x="0" y="0"/>
          <a:ext cx="0" cy="0"/>
        </a:xfrm>
        <a:prstGeom prst="rect">
          <a:avLst/>
        </a:prstGeom>
      </xdr:spPr>
    </xdr:pic>
    <xdr:clientData fLocksWithSheet="0"/>
  </xdr:twoCellAnchor>
  <xdr:twoCellAnchor>
    <xdr:from>
      <xdr:col>40</xdr:col>
      <xdr:colOff>38100</xdr:colOff>
      <xdr:row>32</xdr:row>
      <xdr:rowOff>38100</xdr:rowOff>
    </xdr:from>
    <xdr:to>
      <xdr:col>41</xdr:col>
      <xdr:colOff>-38100</xdr:colOff>
      <xdr:row>33</xdr:row>
      <xdr:rowOff>-38100</xdr:rowOff>
    </xdr:to>
    <xdr:pic>
      <xdr:nvPicPr>
        <xdr:cNvPr id="92" name="Picture 92" descr="MAhajH">
          <a:extLst>
            <a:ext uri="{FF2B5EF4-FFF2-40B4-BE49-F238E27FC236}">
              <a16:creationId xmlns:a16="http://schemas.microsoft.com/office/drawing/2014/main" id="{00000000-0008-0000-0000-00005C000000}"/>
            </a:ext>
          </a:extLst>
        </xdr:cNvPr>
        <xdr:cNvPicPr>
          <a:picLocks/>
        </xdr:cNvPicPr>
      </xdr:nvPicPr>
      <xdr:blipFill>
        <a:blip xmlns:r="http://schemas.openxmlformats.org/officeDocument/2006/relationships" r:embed="rId91"/>
        <a:stretch>
          <a:fillRect/>
        </a:stretch>
      </xdr:blipFill>
      <xdr:spPr>
        <a:xfrm>
          <a:off x="0" y="0"/>
          <a:ext cx="0" cy="0"/>
        </a:xfrm>
        <a:prstGeom prst="rect">
          <a:avLst/>
        </a:prstGeom>
      </xdr:spPr>
    </xdr:pic>
    <xdr:clientData fLocksWithSheet="0"/>
  </xdr:twoCellAnchor>
  <xdr:twoCellAnchor>
    <xdr:from>
      <xdr:col>30</xdr:col>
      <xdr:colOff>38100</xdr:colOff>
      <xdr:row>32</xdr:row>
      <xdr:rowOff>38100</xdr:rowOff>
    </xdr:from>
    <xdr:to>
      <xdr:col>31</xdr:col>
      <xdr:colOff>-38100</xdr:colOff>
      <xdr:row>33</xdr:row>
      <xdr:rowOff>-38100</xdr:rowOff>
    </xdr:to>
    <xdr:pic>
      <xdr:nvPicPr>
        <xdr:cNvPr id="93" name="Picture 93" descr="kyZgDz">
          <a:extLst>
            <a:ext uri="{FF2B5EF4-FFF2-40B4-BE49-F238E27FC236}">
              <a16:creationId xmlns:a16="http://schemas.microsoft.com/office/drawing/2014/main" id="{00000000-0008-0000-0000-00005D000000}"/>
            </a:ext>
          </a:extLst>
        </xdr:cNvPr>
        <xdr:cNvPicPr>
          <a:picLocks/>
        </xdr:cNvPicPr>
      </xdr:nvPicPr>
      <xdr:blipFill>
        <a:blip xmlns:r="http://schemas.openxmlformats.org/officeDocument/2006/relationships" r:embed="rId92"/>
        <a:stretch>
          <a:fillRect/>
        </a:stretch>
      </xdr:blipFill>
      <xdr:spPr>
        <a:xfrm>
          <a:off x="0" y="0"/>
          <a:ext cx="0" cy="0"/>
        </a:xfrm>
        <a:prstGeom prst="rect">
          <a:avLst/>
        </a:prstGeom>
      </xdr:spPr>
    </xdr:pic>
    <xdr:clientData fLocksWithSheet="0"/>
  </xdr:twoCellAnchor>
  <xdr:twoCellAnchor>
    <xdr:from>
      <xdr:col>50</xdr:col>
      <xdr:colOff>38100</xdr:colOff>
      <xdr:row>86</xdr:row>
      <xdr:rowOff>38100</xdr:rowOff>
    </xdr:from>
    <xdr:to>
      <xdr:col>51</xdr:col>
      <xdr:colOff>-38100</xdr:colOff>
      <xdr:row>87</xdr:row>
      <xdr:rowOff>-38100</xdr:rowOff>
    </xdr:to>
    <xdr:pic>
      <xdr:nvPicPr>
        <xdr:cNvPr id="94" name="Picture 94" descr="ctfaUt">
          <a:extLst>
            <a:ext uri="{FF2B5EF4-FFF2-40B4-BE49-F238E27FC236}">
              <a16:creationId xmlns:a16="http://schemas.microsoft.com/office/drawing/2014/main" id="{00000000-0008-0000-0000-00005E000000}"/>
            </a:ext>
          </a:extLst>
        </xdr:cNvPr>
        <xdr:cNvPicPr>
          <a:picLocks/>
        </xdr:cNvPicPr>
      </xdr:nvPicPr>
      <xdr:blipFill>
        <a:blip xmlns:r="http://schemas.openxmlformats.org/officeDocument/2006/relationships" r:embed="rId93"/>
        <a:stretch>
          <a:fillRect/>
        </a:stretch>
      </xdr:blipFill>
      <xdr:spPr>
        <a:xfrm>
          <a:off x="0" y="0"/>
          <a:ext cx="0" cy="0"/>
        </a:xfrm>
        <a:prstGeom prst="rect">
          <a:avLst/>
        </a:prstGeom>
      </xdr:spPr>
    </xdr:pic>
    <xdr:clientData fLocksWithSheet="0"/>
  </xdr:twoCellAnchor>
  <xdr:twoCellAnchor>
    <xdr:from>
      <xdr:col>20</xdr:col>
      <xdr:colOff>38100</xdr:colOff>
      <xdr:row>86</xdr:row>
      <xdr:rowOff>38100</xdr:rowOff>
    </xdr:from>
    <xdr:to>
      <xdr:col>21</xdr:col>
      <xdr:colOff>-38100</xdr:colOff>
      <xdr:row>87</xdr:row>
      <xdr:rowOff>-38100</xdr:rowOff>
    </xdr:to>
    <xdr:pic>
      <xdr:nvPicPr>
        <xdr:cNvPr id="95" name="Picture 95" descr="SYbWFh">
          <a:extLst>
            <a:ext uri="{FF2B5EF4-FFF2-40B4-BE49-F238E27FC236}">
              <a16:creationId xmlns:a16="http://schemas.microsoft.com/office/drawing/2014/main" id="{00000000-0008-0000-0000-00005F000000}"/>
            </a:ext>
          </a:extLst>
        </xdr:cNvPr>
        <xdr:cNvPicPr>
          <a:picLocks/>
        </xdr:cNvPicPr>
      </xdr:nvPicPr>
      <xdr:blipFill>
        <a:blip xmlns:r="http://schemas.openxmlformats.org/officeDocument/2006/relationships" r:embed="rId94"/>
        <a:stretch>
          <a:fillRect/>
        </a:stretch>
      </xdr:blipFill>
      <xdr:spPr>
        <a:xfrm>
          <a:off x="0" y="0"/>
          <a:ext cx="0" cy="0"/>
        </a:xfrm>
        <a:prstGeom prst="rect">
          <a:avLst/>
        </a:prstGeom>
      </xdr:spPr>
    </xdr:pic>
    <xdr:clientData fLocksWithSheet="0"/>
  </xdr:twoCellAnchor>
  <xdr:twoCellAnchor>
    <xdr:from>
      <xdr:col>40</xdr:col>
      <xdr:colOff>38100</xdr:colOff>
      <xdr:row>86</xdr:row>
      <xdr:rowOff>38100</xdr:rowOff>
    </xdr:from>
    <xdr:to>
      <xdr:col>41</xdr:col>
      <xdr:colOff>-38100</xdr:colOff>
      <xdr:row>87</xdr:row>
      <xdr:rowOff>-38100</xdr:rowOff>
    </xdr:to>
    <xdr:pic>
      <xdr:nvPicPr>
        <xdr:cNvPr id="96" name="Picture 96" descr="eZduAv">
          <a:extLst>
            <a:ext uri="{FF2B5EF4-FFF2-40B4-BE49-F238E27FC236}">
              <a16:creationId xmlns:a16="http://schemas.microsoft.com/office/drawing/2014/main" id="{00000000-0008-0000-0000-000060000000}"/>
            </a:ext>
          </a:extLst>
        </xdr:cNvPr>
        <xdr:cNvPicPr>
          <a:picLocks/>
        </xdr:cNvPicPr>
      </xdr:nvPicPr>
      <xdr:blipFill>
        <a:blip xmlns:r="http://schemas.openxmlformats.org/officeDocument/2006/relationships" r:embed="rId95"/>
        <a:stretch>
          <a:fillRect/>
        </a:stretch>
      </xdr:blipFill>
      <xdr:spPr>
        <a:xfrm>
          <a:off x="0" y="0"/>
          <a:ext cx="0" cy="0"/>
        </a:xfrm>
        <a:prstGeom prst="rect">
          <a:avLst/>
        </a:prstGeom>
      </xdr:spPr>
    </xdr:pic>
    <xdr:clientData fLocksWithSheet="0"/>
  </xdr:twoCellAnchor>
  <xdr:twoCellAnchor>
    <xdr:from>
      <xdr:col>0</xdr:col>
      <xdr:colOff>38100</xdr:colOff>
      <xdr:row>86</xdr:row>
      <xdr:rowOff>38100</xdr:rowOff>
    </xdr:from>
    <xdr:to>
      <xdr:col>1</xdr:col>
      <xdr:colOff>-38100</xdr:colOff>
      <xdr:row>87</xdr:row>
      <xdr:rowOff>-38100</xdr:rowOff>
    </xdr:to>
    <xdr:pic>
      <xdr:nvPicPr>
        <xdr:cNvPr id="97" name="Picture 97" descr="zqJqlc">
          <a:extLst>
            <a:ext uri="{FF2B5EF4-FFF2-40B4-BE49-F238E27FC236}">
              <a16:creationId xmlns:a16="http://schemas.microsoft.com/office/drawing/2014/main" id="{00000000-0008-0000-0000-000061000000}"/>
            </a:ext>
          </a:extLst>
        </xdr:cNvPr>
        <xdr:cNvPicPr>
          <a:picLocks/>
        </xdr:cNvPicPr>
      </xdr:nvPicPr>
      <xdr:blipFill>
        <a:blip xmlns:r="http://schemas.openxmlformats.org/officeDocument/2006/relationships" r:embed="rId96"/>
        <a:stretch>
          <a:fillRect/>
        </a:stretch>
      </xdr:blipFill>
      <xdr:spPr>
        <a:xfrm>
          <a:off x="0" y="0"/>
          <a:ext cx="0" cy="0"/>
        </a:xfrm>
        <a:prstGeom prst="rect">
          <a:avLst/>
        </a:prstGeom>
      </xdr:spPr>
    </xdr:pic>
    <xdr:clientData fLocksWithSheet="0"/>
  </xdr:twoCellAnchor>
  <xdr:twoCellAnchor>
    <xdr:from>
      <xdr:col>10</xdr:col>
      <xdr:colOff>38100</xdr:colOff>
      <xdr:row>86</xdr:row>
      <xdr:rowOff>38100</xdr:rowOff>
    </xdr:from>
    <xdr:to>
      <xdr:col>11</xdr:col>
      <xdr:colOff>-38100</xdr:colOff>
      <xdr:row>87</xdr:row>
      <xdr:rowOff>-38100</xdr:rowOff>
    </xdr:to>
    <xdr:pic>
      <xdr:nvPicPr>
        <xdr:cNvPr id="98" name="Picture 98" descr="QSeLIy">
          <a:extLst>
            <a:ext uri="{FF2B5EF4-FFF2-40B4-BE49-F238E27FC236}">
              <a16:creationId xmlns:a16="http://schemas.microsoft.com/office/drawing/2014/main" id="{00000000-0008-0000-0000-000062000000}"/>
            </a:ext>
          </a:extLst>
        </xdr:cNvPr>
        <xdr:cNvPicPr>
          <a:picLocks/>
        </xdr:cNvPicPr>
      </xdr:nvPicPr>
      <xdr:blipFill>
        <a:blip xmlns:r="http://schemas.openxmlformats.org/officeDocument/2006/relationships" r:embed="rId97"/>
        <a:stretch>
          <a:fillRect/>
        </a:stretch>
      </xdr:blipFill>
      <xdr:spPr>
        <a:xfrm>
          <a:off x="0" y="0"/>
          <a:ext cx="0" cy="0"/>
        </a:xfrm>
        <a:prstGeom prst="rect">
          <a:avLst/>
        </a:prstGeom>
      </xdr:spPr>
    </xdr:pic>
    <xdr:clientData fLocksWithSheet="0"/>
  </xdr:twoCellAnchor>
  <xdr:twoCellAnchor>
    <xdr:from>
      <xdr:col>30</xdr:col>
      <xdr:colOff>38100</xdr:colOff>
      <xdr:row>14</xdr:row>
      <xdr:rowOff>38100</xdr:rowOff>
    </xdr:from>
    <xdr:to>
      <xdr:col>31</xdr:col>
      <xdr:colOff>-38100</xdr:colOff>
      <xdr:row>15</xdr:row>
      <xdr:rowOff>-38100</xdr:rowOff>
    </xdr:to>
    <xdr:pic>
      <xdr:nvPicPr>
        <xdr:cNvPr id="99" name="Picture 99" descr="eUJFXL">
          <a:extLst>
            <a:ext uri="{FF2B5EF4-FFF2-40B4-BE49-F238E27FC236}">
              <a16:creationId xmlns:a16="http://schemas.microsoft.com/office/drawing/2014/main" id="{00000000-0008-0000-0000-000063000000}"/>
            </a:ext>
          </a:extLst>
        </xdr:cNvPr>
        <xdr:cNvPicPr>
          <a:picLocks/>
        </xdr:cNvPicPr>
      </xdr:nvPicPr>
      <xdr:blipFill>
        <a:blip xmlns:r="http://schemas.openxmlformats.org/officeDocument/2006/relationships" r:embed="rId98"/>
        <a:stretch>
          <a:fillRect/>
        </a:stretch>
      </xdr:blipFill>
      <xdr:spPr>
        <a:xfrm>
          <a:off x="0" y="0"/>
          <a:ext cx="0" cy="0"/>
        </a:xfrm>
        <a:prstGeom prst="rect">
          <a:avLst/>
        </a:prstGeom>
      </xdr:spPr>
    </xdr:pic>
    <xdr:clientData fLocksWithSheet="0"/>
  </xdr:twoCellAnchor>
  <xdr:twoCellAnchor>
    <xdr:from>
      <xdr:col>50</xdr:col>
      <xdr:colOff>38100</xdr:colOff>
      <xdr:row>14</xdr:row>
      <xdr:rowOff>38100</xdr:rowOff>
    </xdr:from>
    <xdr:to>
      <xdr:col>51</xdr:col>
      <xdr:colOff>-38100</xdr:colOff>
      <xdr:row>15</xdr:row>
      <xdr:rowOff>-38100</xdr:rowOff>
    </xdr:to>
    <xdr:pic>
      <xdr:nvPicPr>
        <xdr:cNvPr id="100" name="Picture 100" descr="ybKXUG">
          <a:extLst>
            <a:ext uri="{FF2B5EF4-FFF2-40B4-BE49-F238E27FC236}">
              <a16:creationId xmlns:a16="http://schemas.microsoft.com/office/drawing/2014/main" id="{00000000-0008-0000-0000-000064000000}"/>
            </a:ext>
          </a:extLst>
        </xdr:cNvPr>
        <xdr:cNvPicPr>
          <a:picLocks/>
        </xdr:cNvPicPr>
      </xdr:nvPicPr>
      <xdr:blipFill>
        <a:blip xmlns:r="http://schemas.openxmlformats.org/officeDocument/2006/relationships" r:embed="rId99"/>
        <a:stretch>
          <a:fillRect/>
        </a:stretch>
      </xdr:blipFill>
      <xdr:spPr>
        <a:xfrm>
          <a:off x="0" y="0"/>
          <a:ext cx="0" cy="0"/>
        </a:xfrm>
        <a:prstGeom prst="rect">
          <a:avLst/>
        </a:prstGeom>
      </xdr:spPr>
    </xdr:pic>
    <xdr:clientData fLocksWithSheet="0"/>
  </xdr:twoCellAnchor>
  <xdr:twoCellAnchor>
    <xdr:from>
      <xdr:col>0</xdr:col>
      <xdr:colOff>38100</xdr:colOff>
      <xdr:row>14</xdr:row>
      <xdr:rowOff>38100</xdr:rowOff>
    </xdr:from>
    <xdr:to>
      <xdr:col>1</xdr:col>
      <xdr:colOff>-38100</xdr:colOff>
      <xdr:row>15</xdr:row>
      <xdr:rowOff>-38100</xdr:rowOff>
    </xdr:to>
    <xdr:pic>
      <xdr:nvPicPr>
        <xdr:cNvPr id="101" name="Picture 101" descr="YSseIO">
          <a:extLst>
            <a:ext uri="{FF2B5EF4-FFF2-40B4-BE49-F238E27FC236}">
              <a16:creationId xmlns:a16="http://schemas.microsoft.com/office/drawing/2014/main" id="{00000000-0008-0000-0000-000065000000}"/>
            </a:ext>
          </a:extLst>
        </xdr:cNvPr>
        <xdr:cNvPicPr>
          <a:picLocks/>
        </xdr:cNvPicPr>
      </xdr:nvPicPr>
      <xdr:blipFill>
        <a:blip xmlns:r="http://schemas.openxmlformats.org/officeDocument/2006/relationships" r:embed="rId100"/>
        <a:stretch>
          <a:fillRect/>
        </a:stretch>
      </xdr:blipFill>
      <xdr:spPr>
        <a:xfrm>
          <a:off x="0" y="0"/>
          <a:ext cx="0" cy="0"/>
        </a:xfrm>
        <a:prstGeom prst="rect">
          <a:avLst/>
        </a:prstGeom>
      </xdr:spPr>
    </xdr:pic>
    <xdr:clientData fLocksWithSheet="0"/>
  </xdr:twoCellAnchor>
  <xdr:twoCellAnchor>
    <xdr:from>
      <xdr:col>10</xdr:col>
      <xdr:colOff>38100</xdr:colOff>
      <xdr:row>14</xdr:row>
      <xdr:rowOff>38100</xdr:rowOff>
    </xdr:from>
    <xdr:to>
      <xdr:col>11</xdr:col>
      <xdr:colOff>-38100</xdr:colOff>
      <xdr:row>15</xdr:row>
      <xdr:rowOff>-38100</xdr:rowOff>
    </xdr:to>
    <xdr:pic>
      <xdr:nvPicPr>
        <xdr:cNvPr id="102" name="Picture 102" descr="PUSGvU">
          <a:extLst>
            <a:ext uri="{FF2B5EF4-FFF2-40B4-BE49-F238E27FC236}">
              <a16:creationId xmlns:a16="http://schemas.microsoft.com/office/drawing/2014/main" id="{00000000-0008-0000-0000-000066000000}"/>
            </a:ext>
          </a:extLst>
        </xdr:cNvPr>
        <xdr:cNvPicPr>
          <a:picLocks/>
        </xdr:cNvPicPr>
      </xdr:nvPicPr>
      <xdr:blipFill>
        <a:blip xmlns:r="http://schemas.openxmlformats.org/officeDocument/2006/relationships" r:embed="rId101"/>
        <a:stretch>
          <a:fillRect/>
        </a:stretch>
      </xdr:blipFill>
      <xdr:spPr>
        <a:xfrm>
          <a:off x="0" y="0"/>
          <a:ext cx="0" cy="0"/>
        </a:xfrm>
        <a:prstGeom prst="rect">
          <a:avLst/>
        </a:prstGeom>
      </xdr:spPr>
    </xdr:pic>
    <xdr:clientData fLocksWithSheet="0"/>
  </xdr:twoCellAnchor>
  <xdr:twoCellAnchor>
    <xdr:from>
      <xdr:col>40</xdr:col>
      <xdr:colOff>38100</xdr:colOff>
      <xdr:row>14</xdr:row>
      <xdr:rowOff>38100</xdr:rowOff>
    </xdr:from>
    <xdr:to>
      <xdr:col>41</xdr:col>
      <xdr:colOff>-38100</xdr:colOff>
      <xdr:row>15</xdr:row>
      <xdr:rowOff>-38100</xdr:rowOff>
    </xdr:to>
    <xdr:pic>
      <xdr:nvPicPr>
        <xdr:cNvPr id="103" name="Picture 103" descr="BmCdvH">
          <a:extLst>
            <a:ext uri="{FF2B5EF4-FFF2-40B4-BE49-F238E27FC236}">
              <a16:creationId xmlns:a16="http://schemas.microsoft.com/office/drawing/2014/main" id="{00000000-0008-0000-0000-000067000000}"/>
            </a:ext>
          </a:extLst>
        </xdr:cNvPr>
        <xdr:cNvPicPr>
          <a:picLocks/>
        </xdr:cNvPicPr>
      </xdr:nvPicPr>
      <xdr:blipFill>
        <a:blip xmlns:r="http://schemas.openxmlformats.org/officeDocument/2006/relationships" r:embed="rId102"/>
        <a:stretch>
          <a:fillRect/>
        </a:stretch>
      </xdr:blipFill>
      <xdr:spPr>
        <a:xfrm>
          <a:off x="0" y="0"/>
          <a:ext cx="0" cy="0"/>
        </a:xfrm>
        <a:prstGeom prst="rect">
          <a:avLst/>
        </a:prstGeom>
      </xdr:spPr>
    </xdr:pic>
    <xdr:clientData fLocksWithSheet="0"/>
  </xdr:twoCellAnchor>
  <xdr:twoCellAnchor>
    <xdr:from>
      <xdr:col>20</xdr:col>
      <xdr:colOff>38100</xdr:colOff>
      <xdr:row>14</xdr:row>
      <xdr:rowOff>38100</xdr:rowOff>
    </xdr:from>
    <xdr:to>
      <xdr:col>21</xdr:col>
      <xdr:colOff>-38100</xdr:colOff>
      <xdr:row>15</xdr:row>
      <xdr:rowOff>-38100</xdr:rowOff>
    </xdr:to>
    <xdr:pic>
      <xdr:nvPicPr>
        <xdr:cNvPr id="104" name="Picture 104" descr="DGYuXG">
          <a:extLst>
            <a:ext uri="{FF2B5EF4-FFF2-40B4-BE49-F238E27FC236}">
              <a16:creationId xmlns:a16="http://schemas.microsoft.com/office/drawing/2014/main" id="{00000000-0008-0000-0000-000068000000}"/>
            </a:ext>
          </a:extLst>
        </xdr:cNvPr>
        <xdr:cNvPicPr>
          <a:picLocks/>
        </xdr:cNvPicPr>
      </xdr:nvPicPr>
      <xdr:blipFill>
        <a:blip xmlns:r="http://schemas.openxmlformats.org/officeDocument/2006/relationships" r:embed="rId103"/>
        <a:stretch>
          <a:fillRect/>
        </a:stretch>
      </xdr:blipFill>
      <xdr:spPr>
        <a:xfrm>
          <a:off x="0" y="0"/>
          <a:ext cx="0" cy="0"/>
        </a:xfrm>
        <a:prstGeom prst="rect">
          <a:avLst/>
        </a:prstGeom>
      </xdr:spPr>
    </xdr:pic>
    <xdr:clientData fLocksWithSheet="0"/>
  </xdr:twoCellAnchor>
  <xdr:twoCellAnchor>
    <xdr:from>
      <xdr:col>30</xdr:col>
      <xdr:colOff>38100</xdr:colOff>
      <xdr:row>26</xdr:row>
      <xdr:rowOff>38100</xdr:rowOff>
    </xdr:from>
    <xdr:to>
      <xdr:col>31</xdr:col>
      <xdr:colOff>-38100</xdr:colOff>
      <xdr:row>27</xdr:row>
      <xdr:rowOff>-38100</xdr:rowOff>
    </xdr:to>
    <xdr:pic>
      <xdr:nvPicPr>
        <xdr:cNvPr id="105" name="Picture 105" descr="xlkxUY">
          <a:extLst>
            <a:ext uri="{FF2B5EF4-FFF2-40B4-BE49-F238E27FC236}">
              <a16:creationId xmlns:a16="http://schemas.microsoft.com/office/drawing/2014/main" id="{00000000-0008-0000-0000-000069000000}"/>
            </a:ext>
          </a:extLst>
        </xdr:cNvPr>
        <xdr:cNvPicPr>
          <a:picLocks/>
        </xdr:cNvPicPr>
      </xdr:nvPicPr>
      <xdr:blipFill>
        <a:blip xmlns:r="http://schemas.openxmlformats.org/officeDocument/2006/relationships" r:embed="rId104"/>
        <a:stretch>
          <a:fillRect/>
        </a:stretch>
      </xdr:blipFill>
      <xdr:spPr>
        <a:xfrm>
          <a:off x="0" y="0"/>
          <a:ext cx="0" cy="0"/>
        </a:xfrm>
        <a:prstGeom prst="rect">
          <a:avLst/>
        </a:prstGeom>
      </xdr:spPr>
    </xdr:pic>
    <xdr:clientData fLocksWithSheet="0"/>
  </xdr:twoCellAnchor>
  <xdr:twoCellAnchor>
    <xdr:from>
      <xdr:col>10</xdr:col>
      <xdr:colOff>38100</xdr:colOff>
      <xdr:row>26</xdr:row>
      <xdr:rowOff>38100</xdr:rowOff>
    </xdr:from>
    <xdr:to>
      <xdr:col>11</xdr:col>
      <xdr:colOff>-38100</xdr:colOff>
      <xdr:row>27</xdr:row>
      <xdr:rowOff>-38100</xdr:rowOff>
    </xdr:to>
    <xdr:pic>
      <xdr:nvPicPr>
        <xdr:cNvPr id="106" name="Picture 106" descr="AzOtMe">
          <a:extLst>
            <a:ext uri="{FF2B5EF4-FFF2-40B4-BE49-F238E27FC236}">
              <a16:creationId xmlns:a16="http://schemas.microsoft.com/office/drawing/2014/main" id="{00000000-0008-0000-0000-00006A000000}"/>
            </a:ext>
          </a:extLst>
        </xdr:cNvPr>
        <xdr:cNvPicPr>
          <a:picLocks/>
        </xdr:cNvPicPr>
      </xdr:nvPicPr>
      <xdr:blipFill>
        <a:blip xmlns:r="http://schemas.openxmlformats.org/officeDocument/2006/relationships" r:embed="rId105"/>
        <a:stretch>
          <a:fillRect/>
        </a:stretch>
      </xdr:blipFill>
      <xdr:spPr>
        <a:xfrm>
          <a:off x="0" y="0"/>
          <a:ext cx="0" cy="0"/>
        </a:xfrm>
        <a:prstGeom prst="rect">
          <a:avLst/>
        </a:prstGeom>
      </xdr:spPr>
    </xdr:pic>
    <xdr:clientData fLocksWithSheet="0"/>
  </xdr:twoCellAnchor>
  <xdr:twoCellAnchor>
    <xdr:from>
      <xdr:col>20</xdr:col>
      <xdr:colOff>38100</xdr:colOff>
      <xdr:row>26</xdr:row>
      <xdr:rowOff>38100</xdr:rowOff>
    </xdr:from>
    <xdr:to>
      <xdr:col>21</xdr:col>
      <xdr:colOff>-38100</xdr:colOff>
      <xdr:row>27</xdr:row>
      <xdr:rowOff>-38100</xdr:rowOff>
    </xdr:to>
    <xdr:pic>
      <xdr:nvPicPr>
        <xdr:cNvPr id="107" name="Picture 107" descr="TkpLyn">
          <a:extLst>
            <a:ext uri="{FF2B5EF4-FFF2-40B4-BE49-F238E27FC236}">
              <a16:creationId xmlns:a16="http://schemas.microsoft.com/office/drawing/2014/main" id="{00000000-0008-0000-0000-00006B000000}"/>
            </a:ext>
          </a:extLst>
        </xdr:cNvPr>
        <xdr:cNvPicPr>
          <a:picLocks/>
        </xdr:cNvPicPr>
      </xdr:nvPicPr>
      <xdr:blipFill>
        <a:blip xmlns:r="http://schemas.openxmlformats.org/officeDocument/2006/relationships" r:embed="rId106"/>
        <a:stretch>
          <a:fillRect/>
        </a:stretch>
      </xdr:blipFill>
      <xdr:spPr>
        <a:xfrm>
          <a:off x="0" y="0"/>
          <a:ext cx="0" cy="0"/>
        </a:xfrm>
        <a:prstGeom prst="rect">
          <a:avLst/>
        </a:prstGeom>
      </xdr:spPr>
    </xdr:pic>
    <xdr:clientData fLocksWithSheet="0"/>
  </xdr:twoCellAnchor>
  <xdr:twoCellAnchor>
    <xdr:from>
      <xdr:col>40</xdr:col>
      <xdr:colOff>38100</xdr:colOff>
      <xdr:row>26</xdr:row>
      <xdr:rowOff>38100</xdr:rowOff>
    </xdr:from>
    <xdr:to>
      <xdr:col>41</xdr:col>
      <xdr:colOff>-38100</xdr:colOff>
      <xdr:row>27</xdr:row>
      <xdr:rowOff>-38100</xdr:rowOff>
    </xdr:to>
    <xdr:pic>
      <xdr:nvPicPr>
        <xdr:cNvPr id="108" name="Picture 108" descr="EwhETv">
          <a:extLst>
            <a:ext uri="{FF2B5EF4-FFF2-40B4-BE49-F238E27FC236}">
              <a16:creationId xmlns:a16="http://schemas.microsoft.com/office/drawing/2014/main" id="{00000000-0008-0000-0000-00006C000000}"/>
            </a:ext>
          </a:extLst>
        </xdr:cNvPr>
        <xdr:cNvPicPr>
          <a:picLocks/>
        </xdr:cNvPicPr>
      </xdr:nvPicPr>
      <xdr:blipFill>
        <a:blip xmlns:r="http://schemas.openxmlformats.org/officeDocument/2006/relationships" r:embed="rId107"/>
        <a:stretch>
          <a:fillRect/>
        </a:stretch>
      </xdr:blipFill>
      <xdr:spPr>
        <a:xfrm>
          <a:off x="0" y="0"/>
          <a:ext cx="0" cy="0"/>
        </a:xfrm>
        <a:prstGeom prst="rect">
          <a:avLst/>
        </a:prstGeom>
      </xdr:spPr>
    </xdr:pic>
    <xdr:clientData fLocksWithSheet="0"/>
  </xdr:twoCellAnchor>
  <xdr:twoCellAnchor>
    <xdr:from>
      <xdr:col>0</xdr:col>
      <xdr:colOff>38100</xdr:colOff>
      <xdr:row>26</xdr:row>
      <xdr:rowOff>38100</xdr:rowOff>
    </xdr:from>
    <xdr:to>
      <xdr:col>1</xdr:col>
      <xdr:colOff>-38100</xdr:colOff>
      <xdr:row>27</xdr:row>
      <xdr:rowOff>-38100</xdr:rowOff>
    </xdr:to>
    <xdr:pic>
      <xdr:nvPicPr>
        <xdr:cNvPr id="109" name="Picture 109" descr="XUAxHV">
          <a:extLst>
            <a:ext uri="{FF2B5EF4-FFF2-40B4-BE49-F238E27FC236}">
              <a16:creationId xmlns:a16="http://schemas.microsoft.com/office/drawing/2014/main" id="{00000000-0008-0000-0000-00006D000000}"/>
            </a:ext>
          </a:extLst>
        </xdr:cNvPr>
        <xdr:cNvPicPr>
          <a:picLocks/>
        </xdr:cNvPicPr>
      </xdr:nvPicPr>
      <xdr:blipFill>
        <a:blip xmlns:r="http://schemas.openxmlformats.org/officeDocument/2006/relationships" r:embed="rId108"/>
        <a:stretch>
          <a:fillRect/>
        </a:stretch>
      </xdr:blipFill>
      <xdr:spPr>
        <a:xfrm>
          <a:off x="0" y="0"/>
          <a:ext cx="0" cy="0"/>
        </a:xfrm>
        <a:prstGeom prst="rect">
          <a:avLst/>
        </a:prstGeom>
      </xdr:spPr>
    </xdr:pic>
    <xdr:clientData fLocksWithSheet="0"/>
  </xdr:twoCellAnchor>
  <xdr:twoCellAnchor>
    <xdr:from>
      <xdr:col>50</xdr:col>
      <xdr:colOff>38100</xdr:colOff>
      <xdr:row>26</xdr:row>
      <xdr:rowOff>38100</xdr:rowOff>
    </xdr:from>
    <xdr:to>
      <xdr:col>51</xdr:col>
      <xdr:colOff>-38100</xdr:colOff>
      <xdr:row>27</xdr:row>
      <xdr:rowOff>-38100</xdr:rowOff>
    </xdr:to>
    <xdr:pic>
      <xdr:nvPicPr>
        <xdr:cNvPr id="110" name="Picture 110" descr="HdGMgq">
          <a:extLst>
            <a:ext uri="{FF2B5EF4-FFF2-40B4-BE49-F238E27FC236}">
              <a16:creationId xmlns:a16="http://schemas.microsoft.com/office/drawing/2014/main" id="{00000000-0008-0000-0000-00006E000000}"/>
            </a:ext>
          </a:extLst>
        </xdr:cNvPr>
        <xdr:cNvPicPr>
          <a:picLocks/>
        </xdr:cNvPicPr>
      </xdr:nvPicPr>
      <xdr:blipFill>
        <a:blip xmlns:r="http://schemas.openxmlformats.org/officeDocument/2006/relationships" r:embed="rId109"/>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0699-A9A1-43E4-A6F2-DC04936C9A4C}">
  <sheetPr>
    <outlinePr summaryBelow="0" summaryRight="0"/>
  </sheetPr>
  <dimension ref="A1:BH154"/>
  <sheetViews>
    <sheetView tabSelected="1" topLeftCell="AD1" workbookViewId="0">
      <selection activeCell="AW2" sqref="AW2"/>
    </sheetView>
  </sheetViews>
  <sheetFormatPr defaultColWidth="14" defaultRowHeight="13" x14ac:dyDescent="0.3"/>
  <cols>
    <col min="1" max="60" width="9" customWidth="1"/>
  </cols>
  <sheetData>
    <row r="1" spans="1:60" ht="16" customHeight="1" x14ac:dyDescent="0.3">
      <c r="A1" s="25"/>
      <c r="B1" s="25"/>
      <c r="C1" s="25"/>
      <c r="D1" s="25"/>
      <c r="E1" s="25"/>
      <c r="F1" s="25"/>
      <c r="G1" s="25"/>
      <c r="H1" s="25"/>
      <c r="I1" s="1"/>
      <c r="J1" s="1"/>
      <c r="K1" s="26"/>
      <c r="L1" s="26"/>
      <c r="M1" s="26"/>
      <c r="N1" s="26"/>
      <c r="O1" s="26"/>
      <c r="P1" s="26"/>
      <c r="Q1" s="26"/>
      <c r="R1" s="26"/>
      <c r="S1" s="1"/>
      <c r="T1" s="1"/>
      <c r="U1" s="27"/>
      <c r="V1" s="27"/>
      <c r="W1" s="27"/>
      <c r="X1" s="27"/>
      <c r="Y1" s="27"/>
      <c r="Z1" s="27"/>
      <c r="AA1" s="27"/>
      <c r="AB1" s="27"/>
      <c r="AC1" s="1"/>
      <c r="AD1" s="1"/>
      <c r="AE1" s="25"/>
      <c r="AF1" s="25"/>
      <c r="AG1" s="25"/>
      <c r="AH1" s="25"/>
      <c r="AI1" s="25"/>
      <c r="AJ1" s="25"/>
      <c r="AK1" s="25"/>
      <c r="AL1" s="25"/>
      <c r="AM1" s="1"/>
      <c r="AN1" s="1"/>
      <c r="AO1" s="26"/>
      <c r="AP1" s="26"/>
      <c r="AQ1" s="26"/>
      <c r="AR1" s="26"/>
      <c r="AS1" s="26"/>
      <c r="AT1" s="26"/>
      <c r="AU1" s="26"/>
      <c r="AV1" s="26"/>
      <c r="AW1" s="1"/>
      <c r="AX1" s="1"/>
      <c r="AY1" s="27"/>
      <c r="AZ1" s="27"/>
      <c r="BA1" s="27"/>
      <c r="BB1" s="27"/>
      <c r="BC1" s="27"/>
      <c r="BD1" s="27"/>
      <c r="BE1" s="27"/>
      <c r="BF1" s="27"/>
      <c r="BG1" s="1"/>
      <c r="BH1" s="1"/>
    </row>
    <row r="2" spans="1:60" ht="16" customHeight="1" x14ac:dyDescent="0.3">
      <c r="A2" s="100" t="s">
        <v>0</v>
      </c>
      <c r="B2" s="100"/>
      <c r="C2" s="100"/>
      <c r="D2" s="100"/>
      <c r="E2" s="100"/>
      <c r="F2" s="100"/>
      <c r="G2" s="100"/>
      <c r="H2" s="1"/>
      <c r="K2" s="103" t="s">
        <v>1</v>
      </c>
      <c r="L2" s="100"/>
      <c r="M2" s="100"/>
      <c r="N2" s="100"/>
      <c r="O2" s="100"/>
      <c r="P2" s="100"/>
      <c r="Q2" s="100"/>
      <c r="U2" s="100" t="s">
        <v>2</v>
      </c>
      <c r="V2" s="100"/>
      <c r="W2" s="100"/>
      <c r="X2" s="100"/>
      <c r="Y2" s="100"/>
      <c r="Z2" s="100"/>
      <c r="AA2" s="100"/>
      <c r="AB2" s="1"/>
      <c r="AC2" s="1"/>
      <c r="AD2" s="1"/>
      <c r="AE2" s="99" t="s">
        <v>3</v>
      </c>
      <c r="AF2" s="100"/>
      <c r="AG2" s="100"/>
      <c r="AH2" s="100"/>
      <c r="AI2" s="100"/>
      <c r="AJ2" s="100"/>
      <c r="AK2" s="100"/>
      <c r="AL2" s="1"/>
      <c r="AM2" s="1"/>
      <c r="AN2" s="1"/>
      <c r="AO2" s="99" t="s">
        <v>4</v>
      </c>
      <c r="AP2" s="100"/>
      <c r="AQ2" s="100"/>
      <c r="AR2" s="100"/>
      <c r="AS2" s="100"/>
      <c r="AT2" s="100"/>
      <c r="AU2" s="100"/>
      <c r="AV2" s="1"/>
      <c r="AW2" s="2" t="s">
        <v>389</v>
      </c>
      <c r="AX2" s="1"/>
      <c r="AY2" s="99" t="s">
        <v>6</v>
      </c>
      <c r="AZ2" s="100"/>
      <c r="BA2" s="100"/>
      <c r="BB2" s="100"/>
      <c r="BC2" s="100"/>
      <c r="BD2" s="100"/>
      <c r="BE2" s="100"/>
      <c r="BF2" s="1"/>
      <c r="BG2" s="1"/>
      <c r="BH2" s="1"/>
    </row>
    <row r="3" spans="1:60" ht="63" customHeight="1" x14ac:dyDescent="0.3">
      <c r="A3" s="101"/>
      <c r="B3" s="100"/>
      <c r="C3" t="s">
        <v>7</v>
      </c>
      <c r="E3" t="s">
        <v>8</v>
      </c>
      <c r="F3" s="8" t="s">
        <v>9</v>
      </c>
      <c r="G3" s="5" t="s">
        <v>10</v>
      </c>
      <c r="H3" s="6" t="s">
        <v>11</v>
      </c>
      <c r="K3" s="101"/>
      <c r="L3" s="100"/>
      <c r="M3" t="s">
        <v>7</v>
      </c>
      <c r="O3" t="s">
        <v>12</v>
      </c>
      <c r="P3" s="8" t="s">
        <v>9</v>
      </c>
      <c r="Q3" s="5" t="s">
        <v>10</v>
      </c>
      <c r="R3" s="6" t="s">
        <v>11</v>
      </c>
      <c r="U3" s="101"/>
      <c r="V3" s="100"/>
      <c r="W3" t="s">
        <v>7</v>
      </c>
      <c r="Y3" t="s">
        <v>13</v>
      </c>
      <c r="Z3" s="8" t="s">
        <v>9</v>
      </c>
      <c r="AA3" s="5" t="s">
        <v>10</v>
      </c>
      <c r="AB3" s="6" t="s">
        <v>11</v>
      </c>
      <c r="AE3" s="100"/>
      <c r="AF3" s="100"/>
      <c r="AG3" t="s">
        <v>7</v>
      </c>
      <c r="AI3" t="s">
        <v>14</v>
      </c>
      <c r="AJ3" s="8" t="s">
        <v>9</v>
      </c>
      <c r="AK3" s="5" t="s">
        <v>10</v>
      </c>
      <c r="AL3" s="6" t="s">
        <v>11</v>
      </c>
      <c r="AO3" s="99"/>
      <c r="AP3" s="100"/>
      <c r="AQ3" t="s">
        <v>7</v>
      </c>
      <c r="AS3" t="s">
        <v>13</v>
      </c>
      <c r="AT3" s="8" t="s">
        <v>9</v>
      </c>
      <c r="AU3" s="5" t="s">
        <v>10</v>
      </c>
      <c r="AV3" s="6" t="s">
        <v>11</v>
      </c>
      <c r="AW3" s="16">
        <v>39</v>
      </c>
      <c r="AX3" s="1"/>
      <c r="AY3" s="99"/>
      <c r="AZ3" s="100"/>
      <c r="BA3" t="s">
        <v>7</v>
      </c>
      <c r="BC3" t="s">
        <v>14</v>
      </c>
      <c r="BD3" s="8" t="s">
        <v>9</v>
      </c>
      <c r="BE3" s="9" t="s">
        <v>10</v>
      </c>
      <c r="BF3" s="6" t="s">
        <v>11</v>
      </c>
      <c r="BG3" s="1"/>
      <c r="BH3" s="1"/>
    </row>
    <row r="4" spans="1:60" ht="16" customHeight="1" x14ac:dyDescent="0.3">
      <c r="A4" s="100"/>
      <c r="B4" s="100"/>
      <c r="C4" s="7">
        <v>4</v>
      </c>
      <c r="E4">
        <f>IF(C4=-1,0,IF(C4&lt;=3,词条!C16,词条!D16))</f>
        <v>7</v>
      </c>
      <c r="F4" s="8">
        <f>IF(C4=-1,0,INT(C6+D6*路线!B14+E4*路线!B30+E6))</f>
        <v>173</v>
      </c>
      <c r="G4" s="5">
        <f>IF(C4=-1,0,INT(C6+D6*路线!B17+E4*路线!B30+E6))</f>
        <v>167</v>
      </c>
      <c r="H4" s="6">
        <f>IF(C4=-1,0,INT(C6+D6*路线!B20+E4*路线!B30+E6))</f>
        <v>149</v>
      </c>
      <c r="K4" s="100"/>
      <c r="L4" s="100"/>
      <c r="M4" s="7">
        <v>4</v>
      </c>
      <c r="O4">
        <f>IF(M4=-1,0,IF(M4&lt;=3,词条!C14,词条!D14))</f>
        <v>3</v>
      </c>
      <c r="P4" s="8">
        <f>IF(M4=-1,0,INT((M6/100)*路线!B11+N6*路线!B14+O4*路线!B23+O6))</f>
        <v>170</v>
      </c>
      <c r="Q4" s="5">
        <f>IF(M4=-1,0,INT((M6/100)*路线!B12+N6*路线!B17+O4*路线!B23+O6))</f>
        <v>145</v>
      </c>
      <c r="R4" s="6">
        <f>IF(M4=-1,0,INT((M6/100)*路线!B13+N6*路线!B20+O4*路线!B23+O6))</f>
        <v>91</v>
      </c>
      <c r="U4" s="100"/>
      <c r="V4" s="100"/>
      <c r="W4" s="7">
        <v>4</v>
      </c>
      <c r="Y4">
        <f>IF(W4=-1,0,IF(W4&lt;=3,词条!F6,词条!G6))</f>
        <v>4</v>
      </c>
      <c r="Z4" s="8">
        <f>IF(W4=-1,0,IF(路线!C6="计算",INT(W6+X6*路线!B24+Y4*路线!B14+Y6+20),INT(W6+X6*路线!B24+Y4*路线!B14+Y6)))</f>
        <v>160</v>
      </c>
      <c r="AA4" s="5">
        <f>IF(W4=-1,0,IF(路线!C6="计算",INT(W6+X6*路线!B24+Y4*路线!B17+Y6+20),INT(W6+X6*路线!B24+Y4*路线!B17+Y6)))</f>
        <v>156</v>
      </c>
      <c r="AB4" s="6">
        <f>IF(W4=-1,0,IF(路线!C6="计算",INT(W6+X6*路线!B24+Y4*路线!B20+Y6+20),INT(W6+X6*路线!B24+Y4*路线!B20+Y6)))</f>
        <v>144</v>
      </c>
      <c r="AE4" s="100"/>
      <c r="AF4" s="100"/>
      <c r="AG4" s="7">
        <v>4</v>
      </c>
      <c r="AI4">
        <f>IF(AG4=-1,0,IF(AG4&lt;=3,词条!I9,词条!J9))</f>
        <v>3</v>
      </c>
      <c r="AJ4" s="5">
        <f>IF(AG4=-1,0,INT(AG6+AH6*路线!B31+AI4*(路线!B28+路线!B29)+AI6))</f>
        <v>87</v>
      </c>
      <c r="AK4" s="5">
        <f>IF(AG4=-1,0,INT(AG6+AH6*路线!B31+AI4*(路线!B28+路线!B29)+AI6))</f>
        <v>87</v>
      </c>
      <c r="AL4" s="5">
        <f>IF(AG4=-1,0,INT(AG6+AH6*路线!B31+AI4*(路线!B28+路线!B29)+AI6))</f>
        <v>87</v>
      </c>
      <c r="AO4" s="100"/>
      <c r="AP4" s="100"/>
      <c r="AQ4" s="7">
        <v>4</v>
      </c>
      <c r="AS4">
        <f>IF(AQ4=-1,0,IF(AQ4&lt;=3,词条!I6,词条!J6))</f>
        <v>4</v>
      </c>
      <c r="AT4" s="5">
        <f>IF(AQ4=-1,0,INT(AQ6+AR6*路线!B33+AS4*路线!B14+AS6))</f>
        <v>123</v>
      </c>
      <c r="AU4" s="5">
        <f>IF(AQ4=-1,0,INT(AQ6+AR6*路线!B33+AS4*路线!B17+AS6))</f>
        <v>119</v>
      </c>
      <c r="AV4" s="9">
        <f>IF(AQ4=-1,0,INT(AQ6+AR6*路线!B33+AS4*路线!B20+AS6))</f>
        <v>107</v>
      </c>
      <c r="AW4" s="2">
        <f>AT4+AW3</f>
        <v>162</v>
      </c>
      <c r="AX4" s="1"/>
      <c r="AY4" s="100"/>
      <c r="AZ4" s="100"/>
      <c r="BA4" s="7">
        <v>4</v>
      </c>
      <c r="BC4">
        <f>IF(BA4=-1,0,IF(BA4&lt;=3,词条!I9,词条!J9))</f>
        <v>3</v>
      </c>
      <c r="BD4" s="5">
        <f>IF(BA4=-1,0,INT(BA6+BB6*路线!B32+BC4*(路线!B28+路线!B29)+BC6))</f>
        <v>121</v>
      </c>
      <c r="BE4" s="5">
        <f>IF(BA4=-1,0,INT(BA6+BB6*路线!B32+BC4*(路线!B28+路线!B29)+BC6))</f>
        <v>121</v>
      </c>
      <c r="BF4" s="9">
        <f>IF(BA4=-1,0,INT(BA6+BB6*路线!B32+BC4*(路线!B28+路线!B29)+BC6))</f>
        <v>121</v>
      </c>
      <c r="BG4" s="1"/>
      <c r="BH4" s="1"/>
    </row>
    <row r="5" spans="1:60" ht="16" customHeight="1" x14ac:dyDescent="0.3">
      <c r="A5" s="100"/>
      <c r="B5" s="100"/>
      <c r="C5" t="s">
        <v>15</v>
      </c>
      <c r="D5" t="s">
        <v>13</v>
      </c>
      <c r="E5" t="s">
        <v>16</v>
      </c>
      <c r="F5" s="101"/>
      <c r="G5" s="100"/>
      <c r="H5" s="100"/>
      <c r="K5" s="100"/>
      <c r="L5" s="100"/>
      <c r="M5" t="s">
        <v>17</v>
      </c>
      <c r="N5" t="s">
        <v>13</v>
      </c>
      <c r="O5" t="s">
        <v>16</v>
      </c>
      <c r="P5" s="101"/>
      <c r="Q5" s="100"/>
      <c r="R5" s="100"/>
      <c r="U5" s="100"/>
      <c r="V5" s="100"/>
      <c r="W5" t="s">
        <v>15</v>
      </c>
      <c r="X5" t="s">
        <v>18</v>
      </c>
      <c r="Y5" t="s">
        <v>16</v>
      </c>
      <c r="Z5" s="101"/>
      <c r="AA5" s="100"/>
      <c r="AB5" s="100"/>
      <c r="AE5" s="100"/>
      <c r="AF5" s="100"/>
      <c r="AG5" t="s">
        <v>15</v>
      </c>
      <c r="AH5" t="s">
        <v>19</v>
      </c>
      <c r="AI5" t="s">
        <v>16</v>
      </c>
      <c r="AJ5" s="101"/>
      <c r="AK5" s="100"/>
      <c r="AL5" s="100"/>
      <c r="AO5" s="100"/>
      <c r="AP5" s="100"/>
      <c r="AQ5" t="s">
        <v>15</v>
      </c>
      <c r="AR5" t="s">
        <v>20</v>
      </c>
      <c r="AS5" t="s">
        <v>16</v>
      </c>
      <c r="AT5" s="101"/>
      <c r="AU5" s="100"/>
      <c r="AV5" s="100"/>
      <c r="AW5" s="2">
        <f>AU4+AW3</f>
        <v>158</v>
      </c>
      <c r="AX5" s="1"/>
      <c r="AY5" s="100"/>
      <c r="AZ5" s="100"/>
      <c r="BA5" t="s">
        <v>15</v>
      </c>
      <c r="BB5" t="s">
        <v>21</v>
      </c>
      <c r="BC5" t="s">
        <v>16</v>
      </c>
      <c r="BD5" s="101"/>
      <c r="BE5" s="100"/>
      <c r="BF5" s="100"/>
      <c r="BG5" s="1"/>
      <c r="BH5" s="1"/>
    </row>
    <row r="6" spans="1:60" ht="16" customHeight="1" x14ac:dyDescent="0.3">
      <c r="A6" s="100"/>
      <c r="B6" s="100"/>
      <c r="C6">
        <f>IF(C4=-1,0,INDEX(词条!C3:G3,C4+1))</f>
        <v>60</v>
      </c>
      <c r="D6">
        <f>IF(C4=-1,0,IF(C4&lt;=2,词条!C6,词条!D6))</f>
        <v>6</v>
      </c>
      <c r="E6">
        <f>IF(C4=-1,0,CHOOSE(C4+1,词条!C2,词条!D2,词条!D2,词条!D2,词条!E2))</f>
        <v>40</v>
      </c>
      <c r="F6" s="102" t="s">
        <v>22</v>
      </c>
      <c r="G6" s="100"/>
      <c r="H6" s="100"/>
      <c r="K6" s="100"/>
      <c r="L6" s="100"/>
      <c r="M6">
        <f>IF(M4=-1,0,INDEX(词条!C4:G4,M4+1))</f>
        <v>8.5</v>
      </c>
      <c r="N6">
        <f>IF(M4=-1,0,IF(M4&lt;=2,词条!C6,词条!D6))</f>
        <v>6</v>
      </c>
      <c r="O6">
        <f>IF(M4=-1,0,CHOOSE(M4+1,词条!C2,词条!D2,词条!D2,词条!D2,词条!E2))</f>
        <v>40</v>
      </c>
      <c r="P6" s="102" t="s">
        <v>22</v>
      </c>
      <c r="Q6" s="100"/>
      <c r="R6" s="100"/>
      <c r="U6" s="100"/>
      <c r="V6" s="100"/>
      <c r="W6">
        <f>IF(W4=-1,0,INDEX(词条!C3:G3,W4+1))</f>
        <v>60</v>
      </c>
      <c r="X6">
        <f>IF(W4=-1,0,IF(W4&lt;=2,词条!F13,词条!G13))</f>
        <v>2</v>
      </c>
      <c r="Y6">
        <f>IF(W4=-1,0,CHOOSE(W4+1,词条!C2,词条!D2,词条!D2,词条!D2,词条!E2))</f>
        <v>40</v>
      </c>
      <c r="Z6" s="102" t="s">
        <v>22</v>
      </c>
      <c r="AA6" s="100"/>
      <c r="AB6" s="100"/>
      <c r="AE6" s="100"/>
      <c r="AF6" s="100"/>
      <c r="AG6">
        <f>IF(AG4=-1,0,INDEX(词条!I3:M3,AG4+1))</f>
        <v>45</v>
      </c>
      <c r="AH6">
        <f>IF(AG4=-1,0,IF(AG4&lt;=2,词条!I17,词条!J17))</f>
        <v>10</v>
      </c>
      <c r="AI6">
        <f>IF(AG4=-1,0,CHOOSE(AG4+1,词条!I2,词条!I2,词条!J2,词条!J2,词条!K2))</f>
        <v>30</v>
      </c>
      <c r="AJ6" s="102" t="s">
        <v>22</v>
      </c>
      <c r="AK6" s="100"/>
      <c r="AL6" s="100"/>
      <c r="AO6" s="100"/>
      <c r="AP6" s="100"/>
      <c r="AQ6">
        <f>IF(AQ4=-1,0,INDEX(词条!I3:M3,AQ4+1))</f>
        <v>45</v>
      </c>
      <c r="AR6">
        <f>IF(AQ4=-1,0,IF(AQ4&lt;=2,词条!I18,词条!J18))</f>
        <v>8</v>
      </c>
      <c r="AS6">
        <f>IF(AQ4=-1,0,CHOOSE(AQ4+1,词条!I2,词条!I2,词条!J2,词条!J2,词条!K2))</f>
        <v>30</v>
      </c>
      <c r="AT6" s="102" t="s">
        <v>22</v>
      </c>
      <c r="AU6" s="100"/>
      <c r="AV6" s="100"/>
      <c r="AW6" s="2">
        <f>AV4</f>
        <v>107</v>
      </c>
      <c r="AX6" s="1"/>
      <c r="AY6" s="100"/>
      <c r="AZ6" s="100"/>
      <c r="BA6">
        <f>IF(BA4=-1,0,INDEX(词条!I3:M3,BA4+1))</f>
        <v>45</v>
      </c>
      <c r="BB6">
        <f>IF(BA4=-1,0,IF(BA4&lt;=2,词条!I5,词条!J5))</f>
        <v>17</v>
      </c>
      <c r="BC6">
        <f>IF(BA4=-1,0,CHOOSE(BA4+1,词条!I2,词条!I2,词条!J2,词条!J2,词条!K2))</f>
        <v>30</v>
      </c>
      <c r="BD6" s="102" t="s">
        <v>22</v>
      </c>
      <c r="BE6" s="100"/>
      <c r="BF6" s="100"/>
      <c r="BG6" s="1"/>
      <c r="BH6" s="1"/>
    </row>
    <row r="7" spans="1:60" ht="16" customHeight="1" x14ac:dyDescent="0.3">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ht="16" customHeight="1" x14ac:dyDescent="0.3">
      <c r="A8" s="100" t="s">
        <v>23</v>
      </c>
      <c r="B8" s="100"/>
      <c r="C8" s="100"/>
      <c r="D8" s="100"/>
      <c r="E8" s="100"/>
      <c r="F8" s="100"/>
      <c r="G8" s="100"/>
      <c r="K8" s="100" t="s">
        <v>24</v>
      </c>
      <c r="L8" s="100"/>
      <c r="M8" s="100"/>
      <c r="N8" s="100"/>
      <c r="O8" s="100"/>
      <c r="P8" s="100"/>
      <c r="Q8" s="100"/>
      <c r="U8" s="100" t="s">
        <v>25</v>
      </c>
      <c r="V8" s="100"/>
      <c r="W8" s="100"/>
      <c r="X8" s="100"/>
      <c r="Y8" s="100"/>
      <c r="Z8" s="100"/>
      <c r="AA8" s="100"/>
      <c r="AB8" s="1"/>
      <c r="AC8" s="1"/>
      <c r="AD8" s="1"/>
      <c r="AE8" s="99" t="s">
        <v>26</v>
      </c>
      <c r="AF8" s="100"/>
      <c r="AG8" s="100"/>
      <c r="AH8" s="100"/>
      <c r="AI8" s="100"/>
      <c r="AJ8" s="100"/>
      <c r="AK8" s="100"/>
      <c r="AL8" s="1"/>
      <c r="AM8" s="2" t="s">
        <v>5</v>
      </c>
      <c r="AN8" s="1"/>
      <c r="AO8" s="99" t="s">
        <v>27</v>
      </c>
      <c r="AP8" s="100"/>
      <c r="AQ8" s="100"/>
      <c r="AR8" s="100"/>
      <c r="AS8" s="100"/>
      <c r="AT8" s="100"/>
      <c r="AU8" s="100"/>
      <c r="AV8" s="1"/>
      <c r="AW8" s="2" t="s">
        <v>389</v>
      </c>
      <c r="AX8" s="1"/>
      <c r="AY8" s="99" t="s">
        <v>28</v>
      </c>
      <c r="AZ8" s="100"/>
      <c r="BA8" s="100"/>
      <c r="BB8" s="100"/>
      <c r="BC8" s="100"/>
      <c r="BD8" s="100"/>
      <c r="BE8" s="100"/>
      <c r="BF8" s="1"/>
      <c r="BG8" s="2" t="s">
        <v>5</v>
      </c>
    </row>
    <row r="9" spans="1:60" ht="63" customHeight="1" x14ac:dyDescent="0.3">
      <c r="A9" s="101"/>
      <c r="B9" s="100"/>
      <c r="C9" t="s">
        <v>7</v>
      </c>
      <c r="E9" t="s">
        <v>18</v>
      </c>
      <c r="F9" s="8" t="s">
        <v>9</v>
      </c>
      <c r="G9" s="5" t="s">
        <v>10</v>
      </c>
      <c r="H9" s="6" t="s">
        <v>11</v>
      </c>
      <c r="K9" s="101"/>
      <c r="L9" s="100"/>
      <c r="M9" t="s">
        <v>7</v>
      </c>
      <c r="O9" t="s">
        <v>20</v>
      </c>
      <c r="P9" s="8" t="s">
        <v>9</v>
      </c>
      <c r="Q9" s="5" t="s">
        <v>10</v>
      </c>
      <c r="R9" s="6" t="s">
        <v>11</v>
      </c>
      <c r="U9" s="101"/>
      <c r="V9" s="100"/>
      <c r="W9" t="s">
        <v>7</v>
      </c>
      <c r="Y9" t="s">
        <v>14</v>
      </c>
      <c r="Z9" s="8" t="s">
        <v>9</v>
      </c>
      <c r="AA9" s="5" t="s">
        <v>10</v>
      </c>
      <c r="AB9" s="6" t="s">
        <v>11</v>
      </c>
      <c r="AE9" s="100"/>
      <c r="AF9" s="100"/>
      <c r="AG9" t="s">
        <v>7</v>
      </c>
      <c r="AI9" t="s">
        <v>13</v>
      </c>
      <c r="AJ9" s="8" t="s">
        <v>9</v>
      </c>
      <c r="AK9" s="5" t="s">
        <v>10</v>
      </c>
      <c r="AL9" s="6" t="s">
        <v>11</v>
      </c>
      <c r="AM9" s="16">
        <v>39</v>
      </c>
      <c r="AO9" s="99"/>
      <c r="AP9" s="100"/>
      <c r="AQ9" t="s">
        <v>7</v>
      </c>
      <c r="AS9" t="s">
        <v>29</v>
      </c>
      <c r="AT9" s="8" t="s">
        <v>9</v>
      </c>
      <c r="AU9" s="5" t="s">
        <v>10</v>
      </c>
      <c r="AV9" s="6" t="s">
        <v>11</v>
      </c>
      <c r="AW9" s="16">
        <v>52</v>
      </c>
      <c r="AX9" s="1"/>
      <c r="AY9" s="99"/>
      <c r="AZ9" s="100"/>
      <c r="BA9" t="s">
        <v>7</v>
      </c>
      <c r="BC9" t="s">
        <v>13</v>
      </c>
      <c r="BD9" s="8" t="s">
        <v>9</v>
      </c>
      <c r="BE9" s="9" t="s">
        <v>10</v>
      </c>
      <c r="BF9" s="6" t="s">
        <v>11</v>
      </c>
      <c r="BG9" s="16">
        <v>39</v>
      </c>
    </row>
    <row r="10" spans="1:60" ht="16" customHeight="1" x14ac:dyDescent="0.3">
      <c r="A10" s="100"/>
      <c r="B10" s="100"/>
      <c r="C10" s="7">
        <v>4</v>
      </c>
      <c r="E10">
        <f>IF(C10=-1,0,IF(C10&lt;=3,词条!C13,词条!D13))</f>
        <v>3</v>
      </c>
      <c r="F10" s="8">
        <f>IF(C10=-1,0,INT((C12/100)*路线!B11+D12*路线!B31+E10*路线!B24+E12))</f>
        <v>152</v>
      </c>
      <c r="G10" s="5">
        <f>IF(C10=-1,0,INT((C12/100)*路线!B12+D12*路线!B31+E10*路线!B24+E12))</f>
        <v>133</v>
      </c>
      <c r="H10" s="6">
        <f>IF(C10=-1,0,INT((C12/100)*路线!B13+D12*路线!B31+E10*路线!B24+E12))</f>
        <v>97</v>
      </c>
      <c r="K10" s="100"/>
      <c r="L10" s="100"/>
      <c r="M10" s="7">
        <v>4</v>
      </c>
      <c r="O10">
        <f>IF(M10=-1,0,IF(M10&lt;=3,词条!C18,词条!D18))</f>
        <v>11</v>
      </c>
      <c r="P10" s="8">
        <f>IF(M10=-1,0,IF(路线!C6="计算",INT(M12+N12*路线!B14+O10*路线!B33+O12+20),INT(M12+N12*路线!B14+O10*路线!B33+O12)))</f>
        <v>188</v>
      </c>
      <c r="Q10" s="5">
        <f>IF(M10=-1,0,IF(路线!C6="计算",INT(M12+N12*路线!B17+O10*路线!B33+O12+20),INT(M12+N12*路线!B17+O10*路线!B33+O12)))</f>
        <v>182</v>
      </c>
      <c r="R10" s="6">
        <f>IF(M10=-1,0,IF(路线!C6="计算",INT(M12+N12*路线!B20+O10*路线!B33+O12+20),INT(M12+N12*路线!B20+O10*路线!B33+O12)))</f>
        <v>164</v>
      </c>
      <c r="U10" s="100"/>
      <c r="V10" s="100"/>
      <c r="W10" s="7">
        <v>4</v>
      </c>
      <c r="Y10">
        <f>IF(W10=-1,0,IF(W10&lt;=3,词条!C9,词条!D9))</f>
        <v>4</v>
      </c>
      <c r="Z10" s="8">
        <f>IF(W10=-1,0,INT((W12/100)*路线!B11+X12*路线!B30+Y10*(路线!B28+路线!B29)+Y12))</f>
        <v>181</v>
      </c>
      <c r="AA10" s="5">
        <f>IF(W10=-1,0,INT((W12/100)*路线!B12+X12*路线!B30+Y10*(路线!B28+路线!B29)+Y12))</f>
        <v>162</v>
      </c>
      <c r="AB10" s="6">
        <f>IF(W10=-1,0,INT((W12/100)*路线!B13+X12*路线!B30+Y10*(路线!B28+路线!B29)+Y12))</f>
        <v>126</v>
      </c>
      <c r="AE10" s="100"/>
      <c r="AF10" s="100"/>
      <c r="AG10" s="7">
        <v>4</v>
      </c>
      <c r="AI10">
        <f>IF(AG10=-1,0,IF(AG10&lt;=3,词条!I6,词条!J6))</f>
        <v>4</v>
      </c>
      <c r="AJ10" s="5">
        <f>IF(AG10=-1,0,INT(AG12+AH12*路线!B33+AI10*路线!B14+AI12))</f>
        <v>123</v>
      </c>
      <c r="AK10" s="5">
        <f>IF(AG10=-1,0,INT(AG12+AH12*路线!B33+AI10*路线!B17+AI12))</f>
        <v>119</v>
      </c>
      <c r="AL10" s="5">
        <f>IF(AG10=-1,0,INT(AG12+AH12*路线!B33+AI10*路线!B20+AI12))</f>
        <v>107</v>
      </c>
      <c r="AM10" s="2">
        <f>AJ10+AM9</f>
        <v>162</v>
      </c>
      <c r="AO10" s="100"/>
      <c r="AP10" s="100"/>
      <c r="AQ10" s="7">
        <v>4</v>
      </c>
      <c r="AS10">
        <f>IF(AQ10=-1,0,IF(AQ10&lt;=3,词条!I8,词条!J8))</f>
        <v>13</v>
      </c>
      <c r="AT10" s="5">
        <f>IF(AQ10=-1,0,INT(AQ12+AR12*路线!B30+AS10*路线!B16+AS12))</f>
        <v>110</v>
      </c>
      <c r="AU10" s="5">
        <f>IF(AQ10=-1,0,INT(AQ12+AR12*路线!B30+AS10*路线!B19+AS12))</f>
        <v>110</v>
      </c>
      <c r="AV10" s="5">
        <f>IF(AQ10=-1,0,INT(AQ12+AR12*路线!B30+AS10*路线!B22+AS12))</f>
        <v>110</v>
      </c>
      <c r="AW10" s="2">
        <f>AT10+AW9</f>
        <v>162</v>
      </c>
      <c r="AX10" s="1"/>
      <c r="AY10" s="100"/>
      <c r="AZ10" s="100"/>
      <c r="BA10" s="7">
        <v>4</v>
      </c>
      <c r="BC10">
        <f>IF(BA10=-1,0,IF(BA10&lt;=3,词条!I6,词条!J6))</f>
        <v>4</v>
      </c>
      <c r="BD10" s="5">
        <f>IF(BA10=-1,0,INT(BA12+BB12*路线!B33+BC10*路线!B14+BC12))</f>
        <v>123</v>
      </c>
      <c r="BE10" s="5">
        <f>IF(BA10=-1,0,INT(BA12+BB12*路线!B33+BC10*路线!B17+BC12))</f>
        <v>119</v>
      </c>
      <c r="BF10" s="9">
        <f>IF(BA10=-1,0,INT(BA12+BB12*路线!B33+BC10*路线!B20+BC12))</f>
        <v>107</v>
      </c>
      <c r="BG10" s="2">
        <f>BD10+BG9</f>
        <v>162</v>
      </c>
    </row>
    <row r="11" spans="1:60" ht="16" customHeight="1" x14ac:dyDescent="0.3">
      <c r="A11" s="100"/>
      <c r="B11" s="100"/>
      <c r="C11" t="s">
        <v>17</v>
      </c>
      <c r="D11" t="s">
        <v>19</v>
      </c>
      <c r="E11" t="s">
        <v>16</v>
      </c>
      <c r="F11" s="101"/>
      <c r="G11" s="100"/>
      <c r="H11" s="100"/>
      <c r="K11" s="100"/>
      <c r="L11" s="100"/>
      <c r="M11" t="s">
        <v>15</v>
      </c>
      <c r="N11" t="s">
        <v>13</v>
      </c>
      <c r="O11" t="s">
        <v>16</v>
      </c>
      <c r="P11" s="101"/>
      <c r="Q11" s="100"/>
      <c r="R11" s="100"/>
      <c r="U11" s="100"/>
      <c r="V11" s="100"/>
      <c r="W11" t="s">
        <v>17</v>
      </c>
      <c r="X11" t="s">
        <v>8</v>
      </c>
      <c r="Y11" t="s">
        <v>16</v>
      </c>
      <c r="Z11" s="101"/>
      <c r="AA11" s="100"/>
      <c r="AB11" s="100"/>
      <c r="AE11" s="100"/>
      <c r="AF11" s="100"/>
      <c r="AG11" t="s">
        <v>15</v>
      </c>
      <c r="AH11" t="s">
        <v>20</v>
      </c>
      <c r="AI11" t="s">
        <v>16</v>
      </c>
      <c r="AJ11" s="101"/>
      <c r="AK11" s="100"/>
      <c r="AL11" s="100"/>
      <c r="AM11" s="2">
        <f>AK10+AM9</f>
        <v>158</v>
      </c>
      <c r="AO11" s="100"/>
      <c r="AP11" s="100"/>
      <c r="AQ11" t="s">
        <v>15</v>
      </c>
      <c r="AR11" t="s">
        <v>8</v>
      </c>
      <c r="AS11" t="s">
        <v>16</v>
      </c>
      <c r="AT11" s="101"/>
      <c r="AU11" s="100"/>
      <c r="AV11" s="100"/>
      <c r="AW11" s="2">
        <f>AU10+AW9</f>
        <v>162</v>
      </c>
      <c r="AX11" s="1"/>
      <c r="AY11" s="100"/>
      <c r="AZ11" s="100"/>
      <c r="BA11" t="s">
        <v>15</v>
      </c>
      <c r="BB11" t="s">
        <v>20</v>
      </c>
      <c r="BC11" t="s">
        <v>16</v>
      </c>
      <c r="BD11" s="101"/>
      <c r="BE11" s="100"/>
      <c r="BF11" s="100"/>
      <c r="BG11" s="2">
        <f>BE10+BG9</f>
        <v>158</v>
      </c>
    </row>
    <row r="12" spans="1:60" ht="16" customHeight="1" x14ac:dyDescent="0.3">
      <c r="A12" s="100"/>
      <c r="B12" s="100"/>
      <c r="C12">
        <f>IF(C10=-1,0,INDEX(词条!C4:G4,C10+1))</f>
        <v>8.5</v>
      </c>
      <c r="D12">
        <f>IF(C10=-1,0,IF(C10&lt;=2,词条!C17,词条!D17))</f>
        <v>15</v>
      </c>
      <c r="E12">
        <f>IF(C10=-1,0,CHOOSE(C10+1,词条!C2,词条!D2,词条!D2,词条!D2,词条!E2))</f>
        <v>40</v>
      </c>
      <c r="F12" s="102" t="s">
        <v>22</v>
      </c>
      <c r="G12" s="100"/>
      <c r="H12" s="100"/>
      <c r="K12" s="100"/>
      <c r="L12" s="100"/>
      <c r="M12">
        <f>IF(M10=-1,0,INDEX(词条!C3:G3,M10+1))</f>
        <v>60</v>
      </c>
      <c r="N12">
        <f>IF(M10=-1,0,IF(M10&lt;=2,词条!C6,词条!D6))</f>
        <v>6</v>
      </c>
      <c r="O12">
        <f>IF(M10=-1,0,CHOOSE(M10+1,词条!C2,词条!D2,词条!D2,词条!D2,词条!E2))</f>
        <v>40</v>
      </c>
      <c r="P12" s="102" t="s">
        <v>22</v>
      </c>
      <c r="Q12" s="100"/>
      <c r="R12" s="100"/>
      <c r="U12" s="100"/>
      <c r="V12" s="100"/>
      <c r="W12">
        <f>IF(W10=-1,0,INDEX(词条!C4:G4,W10+1))</f>
        <v>8.5</v>
      </c>
      <c r="X12">
        <f>IF(W10=-1,0,IF(W10&lt;=2,词条!C16,词条!D16))</f>
        <v>7</v>
      </c>
      <c r="Y12">
        <f>IF(W10=-1,0,CHOOSE(W10+1,词条!C2,词条!D2,词条!D2,词条!D2,词条!E2))</f>
        <v>40</v>
      </c>
      <c r="Z12" s="102" t="s">
        <v>22</v>
      </c>
      <c r="AA12" s="100"/>
      <c r="AB12" s="100"/>
      <c r="AE12" s="100"/>
      <c r="AF12" s="100"/>
      <c r="AG12">
        <f>IF(AG10=-1,0,INDEX(词条!I3:M3,AG10+1))</f>
        <v>45</v>
      </c>
      <c r="AH12">
        <f>IF(AG10=-1,0,IF(AG10&lt;=2,词条!I18,词条!J18))</f>
        <v>8</v>
      </c>
      <c r="AI12">
        <f>IF(AG10=-1,0,CHOOSE(AG10+1,词条!I2,词条!I2,词条!J2,词条!J2,词条!K2))</f>
        <v>30</v>
      </c>
      <c r="AJ12" s="102" t="s">
        <v>22</v>
      </c>
      <c r="AK12" s="100"/>
      <c r="AL12" s="100"/>
      <c r="AM12" s="2">
        <f>AL10</f>
        <v>107</v>
      </c>
      <c r="AO12" s="100"/>
      <c r="AP12" s="100"/>
      <c r="AQ12">
        <f>IF(AQ10=-1,0,INDEX(词条!I3:M3,AQ10+1))</f>
        <v>45</v>
      </c>
      <c r="AR12">
        <f>IF(AQ10=-1,0,IF(AQ10&lt;=2,词条!I16,词条!J16))</f>
        <v>5</v>
      </c>
      <c r="AS12">
        <f>IF(AQ10=-1,0,CHOOSE(AQ10+1,词条!I2,词条!I2,词条!J2,词条!J2,词条!K2))</f>
        <v>30</v>
      </c>
      <c r="AT12" s="102" t="s">
        <v>22</v>
      </c>
      <c r="AU12" s="100"/>
      <c r="AV12" s="100"/>
      <c r="AW12" s="2">
        <f>AV10+AW9</f>
        <v>162</v>
      </c>
      <c r="AX12" s="1"/>
      <c r="AY12" s="100"/>
      <c r="AZ12" s="100"/>
      <c r="BA12">
        <f>IF(BA10=-1,0,INDEX(词条!I3:M3,BA10+1))</f>
        <v>45</v>
      </c>
      <c r="BB12">
        <f>IF(BA10=-1,0,IF(BA10&lt;=2,词条!I18,词条!J18))</f>
        <v>8</v>
      </c>
      <c r="BC12">
        <f>IF(BA10=-1,0,CHOOSE(BA10+1,词条!I2,词条!I2,词条!J2,词条!J2,词条!K2))</f>
        <v>30</v>
      </c>
      <c r="BD12" s="102" t="s">
        <v>22</v>
      </c>
      <c r="BE12" s="100"/>
      <c r="BF12" s="100"/>
      <c r="BG12" s="2">
        <f>BF10</f>
        <v>107</v>
      </c>
    </row>
    <row r="13" spans="1:60" ht="16" customHeight="1" x14ac:dyDescent="0.3">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16" customHeight="1" x14ac:dyDescent="0.3">
      <c r="A14" s="100" t="s">
        <v>30</v>
      </c>
      <c r="B14" s="100"/>
      <c r="C14" s="100"/>
      <c r="D14" s="100"/>
      <c r="E14" s="100"/>
      <c r="F14" s="100"/>
      <c r="G14" s="100"/>
      <c r="K14" s="100" t="s">
        <v>31</v>
      </c>
      <c r="L14" s="100"/>
      <c r="M14" s="100"/>
      <c r="N14" s="100"/>
      <c r="O14" s="100"/>
      <c r="P14" s="100"/>
      <c r="Q14" s="100"/>
      <c r="U14" s="100" t="s">
        <v>32</v>
      </c>
      <c r="V14" s="100"/>
      <c r="W14" s="100"/>
      <c r="X14" s="100"/>
      <c r="Y14" s="100"/>
      <c r="Z14" s="100"/>
      <c r="AA14" s="100"/>
      <c r="AB14" s="1"/>
      <c r="AC14" s="1"/>
      <c r="AD14" s="1"/>
      <c r="AE14" s="99" t="s">
        <v>33</v>
      </c>
      <c r="AF14" s="100"/>
      <c r="AG14" s="100"/>
      <c r="AH14" s="100"/>
      <c r="AI14" s="100"/>
      <c r="AJ14" s="100"/>
      <c r="AK14" s="100"/>
      <c r="AM14" s="2" t="s">
        <v>5</v>
      </c>
      <c r="AN14" s="1"/>
      <c r="AO14" s="100" t="s">
        <v>34</v>
      </c>
      <c r="AP14" s="100"/>
      <c r="AQ14" s="100"/>
      <c r="AR14" s="100"/>
      <c r="AS14" s="100"/>
      <c r="AT14" s="100"/>
      <c r="AU14" s="100"/>
      <c r="AV14" s="1"/>
      <c r="AW14" s="1"/>
      <c r="AX14" s="1"/>
      <c r="AY14" s="99" t="s">
        <v>35</v>
      </c>
      <c r="AZ14" s="100"/>
      <c r="BA14" s="100"/>
      <c r="BB14" s="100"/>
      <c r="BC14" s="100"/>
      <c r="BD14" s="100"/>
      <c r="BE14" s="100"/>
      <c r="BF14" s="1"/>
      <c r="BG14" s="2" t="s">
        <v>5</v>
      </c>
      <c r="BH14" s="1"/>
    </row>
    <row r="15" spans="1:60" ht="63" customHeight="1" x14ac:dyDescent="0.3">
      <c r="A15" s="101"/>
      <c r="B15" s="100"/>
      <c r="C15" t="s">
        <v>7</v>
      </c>
      <c r="E15" t="s">
        <v>12</v>
      </c>
      <c r="F15" s="8" t="s">
        <v>9</v>
      </c>
      <c r="G15" s="5" t="s">
        <v>10</v>
      </c>
      <c r="H15" s="6" t="s">
        <v>11</v>
      </c>
      <c r="K15" s="101"/>
      <c r="L15" s="100"/>
      <c r="M15" t="s">
        <v>7</v>
      </c>
      <c r="O15" t="s">
        <v>36</v>
      </c>
      <c r="P15" s="8" t="s">
        <v>9</v>
      </c>
      <c r="Q15" s="5" t="s">
        <v>10</v>
      </c>
      <c r="R15" s="6" t="s">
        <v>11</v>
      </c>
      <c r="U15" s="101"/>
      <c r="V15" s="100"/>
      <c r="W15" t="s">
        <v>7</v>
      </c>
      <c r="Y15" t="s">
        <v>18</v>
      </c>
      <c r="Z15" s="8" t="s">
        <v>9</v>
      </c>
      <c r="AA15" s="5" t="s">
        <v>10</v>
      </c>
      <c r="AB15" s="6" t="s">
        <v>11</v>
      </c>
      <c r="AE15" s="100"/>
      <c r="AF15" s="100"/>
      <c r="AG15" t="s">
        <v>7</v>
      </c>
      <c r="AI15" t="s">
        <v>29</v>
      </c>
      <c r="AJ15" s="8" t="s">
        <v>9</v>
      </c>
      <c r="AK15" s="5" t="s">
        <v>10</v>
      </c>
      <c r="AL15" s="6" t="s">
        <v>11</v>
      </c>
      <c r="AM15" s="16">
        <v>52</v>
      </c>
      <c r="AN15" s="1"/>
      <c r="AO15" s="101"/>
      <c r="AP15" s="100"/>
      <c r="AQ15" t="s">
        <v>7</v>
      </c>
      <c r="AS15" t="s">
        <v>36</v>
      </c>
      <c r="AT15" s="8" t="s">
        <v>9</v>
      </c>
      <c r="AU15" s="5" t="s">
        <v>10</v>
      </c>
      <c r="AV15" s="6" t="s">
        <v>11</v>
      </c>
      <c r="AW15" s="1"/>
      <c r="AX15" s="1"/>
      <c r="AY15" s="99"/>
      <c r="AZ15" s="100"/>
      <c r="BA15" t="s">
        <v>7</v>
      </c>
      <c r="BC15" t="s">
        <v>29</v>
      </c>
      <c r="BD15" s="8" t="s">
        <v>9</v>
      </c>
      <c r="BE15" s="9" t="s">
        <v>10</v>
      </c>
      <c r="BF15" s="6" t="s">
        <v>11</v>
      </c>
      <c r="BG15" s="16">
        <v>52</v>
      </c>
      <c r="BH15" s="1"/>
    </row>
    <row r="16" spans="1:60" ht="16" customHeight="1" x14ac:dyDescent="0.3">
      <c r="A16" s="100"/>
      <c r="B16" s="100"/>
      <c r="C16" s="7">
        <v>4</v>
      </c>
      <c r="E16">
        <f>IF(C16=-1,0,IF(C16&lt;=3,词条!C14,词条!D14))</f>
        <v>3</v>
      </c>
      <c r="F16" s="8">
        <f>IF(C16=-1,0,IF(路线!C6="计算",INT(C18+D18*路线!B15+E16*路线!B23+E18+20),INT(C18+D18*路线!B15+E16*路线!B23+E18)))</f>
        <v>218</v>
      </c>
      <c r="G16" s="5">
        <f>IF(C16=-1,0,IF(路线!C6="计算",INT(C18+D18*路线!B18+E16*路线!B23+E18+20),INT(C18+D18*路线!B18+E16*路线!B23+E18)))</f>
        <v>201</v>
      </c>
      <c r="H16" s="6">
        <f>IF(C16=-1,0,IF(路线!C6="计算",INT(C18+D18*路线!B21+E16*路线!B23+E18+20),INT(C18+D18*路线!B21+E16*路线!B23+E18)))</f>
        <v>150</v>
      </c>
      <c r="K16" s="100"/>
      <c r="L16" s="100"/>
      <c r="M16" s="7">
        <v>4</v>
      </c>
      <c r="O16">
        <f>IF(M16=-1,0,IF(M16&lt;=3,词条!F7,词条!G7))</f>
        <v>13</v>
      </c>
      <c r="P16" s="8">
        <f>IF(M16=-1,0,IF(路线!C6="计算",INT((M18/100)*路线!B11+N18*路线!B29+O16*路线!B15+O18+20),INT((M18/100)*路线!B11+N18*路线!B29+O16*路线!B15+O18)))</f>
        <v>202</v>
      </c>
      <c r="Q16" s="5">
        <f>IF(M16=-1,0,IF(路线!C6="计算",INT((M18/100)*路线!B12+N18*路线!B29+O16*路线!B18+O18+20),INT((M18/100)*路线!B12+N18*路线!B29+O16*路线!B18+O18)))</f>
        <v>170</v>
      </c>
      <c r="R16" s="6">
        <f>IF(M16=-1,0,IF(路线!C6="计算",INT((M18/100)*路线!B13+N18*路线!B29+O16*路线!B21+O18+20),INT((M18/100)*路线!B13+N18*路线!B29+O16*路线!B21+O18)))</f>
        <v>95</v>
      </c>
      <c r="U16" s="100"/>
      <c r="V16" s="100"/>
      <c r="W16" s="7">
        <v>4</v>
      </c>
      <c r="Y16">
        <f>IF(W16=-1,0,IF(W16&lt;=3,词条!C13,词条!D13))</f>
        <v>3</v>
      </c>
      <c r="Z16" s="8">
        <f>IF(W16=-1,0,INT(W18+X18*路线!B15+Y16*路线!B24+Y18))</f>
        <v>204</v>
      </c>
      <c r="AA16" s="5">
        <f>IF(W16=-1,0,INT(W18+X18*路线!B18+Y16*路线!B24+Y18))</f>
        <v>187</v>
      </c>
      <c r="AB16" s="6">
        <f>IF(W16=-1,0,INT(W18+X18*路线!B21+Y16*路线!B24+Y18))</f>
        <v>136</v>
      </c>
      <c r="AE16" s="100"/>
      <c r="AF16" s="100"/>
      <c r="AG16" s="7">
        <v>4</v>
      </c>
      <c r="AI16">
        <f>IF(AG16=-1,0,IF(AG16&lt;=3,词条!I8,词条!J8))</f>
        <v>13</v>
      </c>
      <c r="AJ16" s="5">
        <f>IF(AG16=-1,0,INT(AG18+AH18*路线!B30+AI16*路线!B16+AI18))</f>
        <v>110</v>
      </c>
      <c r="AK16" s="5">
        <f>IF(AG16=-1,0,INT(AG18+AH18*路线!B30+AI16*路线!B19+AI18))</f>
        <v>110</v>
      </c>
      <c r="AL16" s="5">
        <f>IF(AG16=-1,0,INT(AG18+AH18*路线!B30+AI16*路线!B22+AI18))</f>
        <v>110</v>
      </c>
      <c r="AM16" s="2">
        <f>AJ16+AM15</f>
        <v>162</v>
      </c>
      <c r="AN16" s="1"/>
      <c r="AO16" s="100"/>
      <c r="AP16" s="100"/>
      <c r="AQ16" s="7">
        <v>4</v>
      </c>
      <c r="AS16">
        <f>IF(AQ16=-1,0,IF(AQ16&lt;=3,词条!I7,词条!J7))</f>
        <v>13</v>
      </c>
      <c r="AT16" s="5">
        <f>IF(AQ16=-1,0,INT((AQ18/100)*路线!B11+AR18+AS16*路线!B15+AS18))</f>
        <v>156</v>
      </c>
      <c r="AU16" s="5">
        <f>IF(AQ16=-1,0,INT((AQ18/100)*路线!B12+AR18+AS16*路线!B18+AS18))</f>
        <v>129</v>
      </c>
      <c r="AV16" s="5">
        <f>IF(AQ16=-1,0,INT((AQ18/100)*路线!B13+AR18+AS16*路线!B21+AS18))</f>
        <v>63</v>
      </c>
      <c r="AW16" s="1"/>
      <c r="AX16" s="1"/>
      <c r="AY16" s="100"/>
      <c r="AZ16" s="100"/>
      <c r="BA16" s="7">
        <v>4</v>
      </c>
      <c r="BC16">
        <f>IF(BA16=-1,0,IF(BA16&lt;=3,词条!I8,词条!J8))</f>
        <v>13</v>
      </c>
      <c r="BD16" s="5">
        <f>IF(BA16=-1,0,INT((BA18/100)*路线!B11+BB18*路线!B30+BC16*路线!B16+BC18))</f>
        <v>122</v>
      </c>
      <c r="BE16" s="5">
        <f>IF(BA16=-1,0,INT((BA18/100)*路线!B12+BB18*路线!B30+BC16*路线!B19+BC18))</f>
        <v>108</v>
      </c>
      <c r="BF16" s="9">
        <f>IF(BA16=-1,0,INT((BA18/100)*路线!B13+BB18*路线!B30+BC16*路线!B22+BC18))</f>
        <v>81</v>
      </c>
      <c r="BG16" s="2">
        <f>BD16+BG15</f>
        <v>174</v>
      </c>
      <c r="BH16" s="1"/>
    </row>
    <row r="17" spans="1:60" ht="16" customHeight="1" x14ac:dyDescent="0.3">
      <c r="A17" s="100"/>
      <c r="B17" s="100"/>
      <c r="C17" t="s">
        <v>15</v>
      </c>
      <c r="D17" t="s">
        <v>36</v>
      </c>
      <c r="E17" t="s">
        <v>16</v>
      </c>
      <c r="F17" s="104" t="s">
        <v>37</v>
      </c>
      <c r="G17" s="100"/>
      <c r="H17" s="100"/>
      <c r="K17" s="100"/>
      <c r="L17" s="100"/>
      <c r="M17" t="s">
        <v>17</v>
      </c>
      <c r="N17" t="s">
        <v>38</v>
      </c>
      <c r="O17" t="s">
        <v>16</v>
      </c>
      <c r="P17" s="101"/>
      <c r="Q17" s="100"/>
      <c r="R17" s="100"/>
      <c r="U17" s="100"/>
      <c r="V17" s="100"/>
      <c r="W17" t="s">
        <v>15</v>
      </c>
      <c r="X17" t="s">
        <v>36</v>
      </c>
      <c r="Y17" t="s">
        <v>16</v>
      </c>
      <c r="Z17" s="104" t="s">
        <v>37</v>
      </c>
      <c r="AA17" s="100"/>
      <c r="AB17" s="100"/>
      <c r="AE17" s="100"/>
      <c r="AF17" s="100"/>
      <c r="AG17" t="s">
        <v>15</v>
      </c>
      <c r="AH17" t="s">
        <v>8</v>
      </c>
      <c r="AI17" t="s">
        <v>16</v>
      </c>
      <c r="AJ17" s="101"/>
      <c r="AK17" s="100"/>
      <c r="AL17" s="100"/>
      <c r="AM17" s="2">
        <f>AK16+AM15</f>
        <v>162</v>
      </c>
      <c r="AN17" s="1"/>
      <c r="AO17" s="100"/>
      <c r="AP17" s="100"/>
      <c r="AQ17" t="s">
        <v>17</v>
      </c>
      <c r="AR17" t="s">
        <v>39</v>
      </c>
      <c r="AS17" t="s">
        <v>16</v>
      </c>
      <c r="AT17" s="104" t="s">
        <v>37</v>
      </c>
      <c r="AU17" s="100"/>
      <c r="AV17" s="100"/>
      <c r="AW17" s="1"/>
      <c r="AX17" s="1"/>
      <c r="AY17" s="100"/>
      <c r="AZ17" s="100"/>
      <c r="BA17" t="s">
        <v>17</v>
      </c>
      <c r="BB17" t="s">
        <v>8</v>
      </c>
      <c r="BC17" t="s">
        <v>16</v>
      </c>
      <c r="BD17" s="101"/>
      <c r="BE17" s="100"/>
      <c r="BF17" s="100"/>
      <c r="BG17" s="2">
        <f>BE16+BG15</f>
        <v>160</v>
      </c>
      <c r="BH17" s="1"/>
    </row>
    <row r="18" spans="1:60" ht="16" customHeight="1" x14ac:dyDescent="0.3">
      <c r="A18" s="100"/>
      <c r="B18" s="100"/>
      <c r="C18">
        <f>IF(C16=-1,0,INDEX(词条!C3:G3,C16+1))</f>
        <v>60</v>
      </c>
      <c r="D18">
        <f>IF(C16=-1,0,IF(C16&lt;=2,词条!C7,词条!D7))</f>
        <v>17</v>
      </c>
      <c r="E18">
        <f>IF(C16=-1,0,CHOOSE(C16+1,词条!C2,词条!D2,词条!D2,词条!D2,词条!E2))</f>
        <v>40</v>
      </c>
      <c r="F18" s="102" t="s">
        <v>22</v>
      </c>
      <c r="G18" s="100"/>
      <c r="H18" s="100"/>
      <c r="K18" s="100"/>
      <c r="L18" s="100"/>
      <c r="M18">
        <f>IF(M16=-1,0,INDEX(词条!C4:G4,M16+1))</f>
        <v>8.5</v>
      </c>
      <c r="N18">
        <f>IF(M16=-1,0,IF(M16&lt;=2,词条!F10,词条!G10))</f>
        <v>7</v>
      </c>
      <c r="O18">
        <f>IF(M16=-1,0,CHOOSE(M16+1,词条!C2,词条!D2,词条!D2,词条!D2,词条!E2))</f>
        <v>40</v>
      </c>
      <c r="P18" s="105" t="s">
        <v>40</v>
      </c>
      <c r="Q18" s="100"/>
      <c r="R18" s="100"/>
      <c r="U18" s="100"/>
      <c r="V18" s="100"/>
      <c r="W18">
        <f>IF(W16=-1,0,INDEX(词条!C3:G3,W16+1))</f>
        <v>60</v>
      </c>
      <c r="X18">
        <f>IF(W16=-1,0,IF(W16&lt;=2,词条!C7,词条!D7))</f>
        <v>17</v>
      </c>
      <c r="Y18">
        <f>IF(W16=-1,0,CHOOSE(W16+1,词条!C2,词条!D2,词条!D2,词条!D2,词条!E2))</f>
        <v>40</v>
      </c>
      <c r="Z18" s="102" t="s">
        <v>22</v>
      </c>
      <c r="AA18" s="100"/>
      <c r="AB18" s="100"/>
      <c r="AE18" s="100"/>
      <c r="AF18" s="100"/>
      <c r="AG18">
        <f>IF(AG16=-1,0,INDEX(词条!I3:M3,AG16+1))</f>
        <v>45</v>
      </c>
      <c r="AH18">
        <f>IF(AG16=-1,0,IF(AG16&lt;=2,词条!I16,词条!J16))</f>
        <v>5</v>
      </c>
      <c r="AI18">
        <f>IF(AG16=-1,0,CHOOSE(AG16+1,词条!I2,词条!I2,词条!J2,词条!J2,词条!K2))</f>
        <v>30</v>
      </c>
      <c r="AJ18" s="102" t="s">
        <v>22</v>
      </c>
      <c r="AK18" s="100"/>
      <c r="AL18" s="100"/>
      <c r="AM18" s="2">
        <f>AL16+AM15</f>
        <v>162</v>
      </c>
      <c r="AN18" s="1"/>
      <c r="AO18" s="100"/>
      <c r="AP18" s="100"/>
      <c r="AQ18">
        <f>IF(AQ16=-1,0,INDEX(词条!I4:M4,AQ16+1))</f>
        <v>6.4</v>
      </c>
      <c r="AR18">
        <f>IF(AQ16=-1,0,IF(AQ16&lt;=2,词条!I19,词条!J19))</f>
        <v>17</v>
      </c>
      <c r="AS18">
        <f>IF(AQ16=-1,0,CHOOSE(AQ16+1,词条!I2,词条!I2,词条!J2,词条!J2,词条!K2))</f>
        <v>30</v>
      </c>
      <c r="AT18" s="102" t="s">
        <v>22</v>
      </c>
      <c r="AU18" s="100"/>
      <c r="AV18" s="100"/>
      <c r="AW18" s="1"/>
      <c r="AX18" s="1"/>
      <c r="AY18" s="100"/>
      <c r="AZ18" s="100"/>
      <c r="BA18">
        <f>IF(BA16=-1,0,INDEX(词条!I4:M4,BA16+1))</f>
        <v>6.4</v>
      </c>
      <c r="BB18">
        <f>IF(BA16=-1,0,IF(BA16&lt;=2,词条!I16,词条!J16))</f>
        <v>5</v>
      </c>
      <c r="BC18">
        <f>IF(BA16=-1,0,CHOOSE(BA16+1,词条!I2,词条!I2,词条!J2,词条!J2,词条!K2))</f>
        <v>30</v>
      </c>
      <c r="BD18" s="102" t="s">
        <v>22</v>
      </c>
      <c r="BE18" s="100"/>
      <c r="BF18" s="100"/>
      <c r="BG18" s="2">
        <f>BF16+BG15</f>
        <v>133</v>
      </c>
      <c r="BH18" s="1"/>
    </row>
    <row r="19" spans="1:60" ht="16" customHeight="1" x14ac:dyDescent="0.3">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16" customHeight="1" x14ac:dyDescent="0.3">
      <c r="A20" s="100" t="s">
        <v>41</v>
      </c>
      <c r="B20" s="100"/>
      <c r="C20" s="100"/>
      <c r="D20" s="100"/>
      <c r="E20" s="100"/>
      <c r="F20" s="100"/>
      <c r="G20" s="100"/>
      <c r="K20" s="100" t="s">
        <v>42</v>
      </c>
      <c r="L20" s="100"/>
      <c r="M20" s="100"/>
      <c r="N20" s="100"/>
      <c r="O20" s="100"/>
      <c r="P20" s="100"/>
      <c r="Q20" s="100"/>
      <c r="U20" s="100" t="s">
        <v>43</v>
      </c>
      <c r="V20" s="100"/>
      <c r="W20" s="100"/>
      <c r="X20" s="100"/>
      <c r="Y20" s="100"/>
      <c r="Z20" s="100"/>
      <c r="AA20" s="100"/>
      <c r="AB20" s="1"/>
      <c r="AC20" s="1"/>
      <c r="AD20" s="1"/>
      <c r="AE20" s="99" t="s">
        <v>44</v>
      </c>
      <c r="AF20" s="100"/>
      <c r="AG20" s="100"/>
      <c r="AH20" s="100"/>
      <c r="AI20" s="100"/>
      <c r="AJ20" s="100"/>
      <c r="AK20" s="100"/>
      <c r="AL20" s="1"/>
      <c r="AM20" s="1"/>
      <c r="AN20" s="1"/>
      <c r="AO20" s="99" t="s">
        <v>45</v>
      </c>
      <c r="AP20" s="100"/>
      <c r="AQ20" s="100"/>
      <c r="AR20" s="100"/>
      <c r="AS20" s="100"/>
      <c r="AT20" s="100"/>
      <c r="AU20" s="100"/>
      <c r="AV20" s="1"/>
      <c r="AW20" s="1"/>
      <c r="AX20" s="1"/>
      <c r="AY20" s="99" t="s">
        <v>46</v>
      </c>
      <c r="AZ20" s="100"/>
      <c r="BA20" s="100"/>
      <c r="BB20" s="100"/>
      <c r="BC20" s="100"/>
      <c r="BD20" s="100"/>
      <c r="BE20" s="100"/>
      <c r="BF20" s="1"/>
      <c r="BG20" s="1"/>
      <c r="BH20" s="1"/>
    </row>
    <row r="21" spans="1:60" ht="63" customHeight="1" x14ac:dyDescent="0.3">
      <c r="A21" s="101"/>
      <c r="B21" s="100"/>
      <c r="C21" t="s">
        <v>7</v>
      </c>
      <c r="E21" t="s">
        <v>14</v>
      </c>
      <c r="F21" s="8" t="s">
        <v>9</v>
      </c>
      <c r="G21" s="5" t="s">
        <v>10</v>
      </c>
      <c r="H21" s="6" t="s">
        <v>11</v>
      </c>
      <c r="K21" s="101"/>
      <c r="L21" s="100"/>
      <c r="M21" t="s">
        <v>7</v>
      </c>
      <c r="O21" t="s">
        <v>14</v>
      </c>
      <c r="P21" s="8" t="s">
        <v>9</v>
      </c>
      <c r="Q21" s="5" t="s">
        <v>10</v>
      </c>
      <c r="R21" s="6" t="s">
        <v>11</v>
      </c>
      <c r="U21" s="101"/>
      <c r="V21" s="100"/>
      <c r="W21" t="s">
        <v>7</v>
      </c>
      <c r="Y21" t="s">
        <v>12</v>
      </c>
      <c r="Z21" s="8" t="s">
        <v>9</v>
      </c>
      <c r="AA21" s="5" t="s">
        <v>10</v>
      </c>
      <c r="AB21" s="6" t="s">
        <v>11</v>
      </c>
      <c r="AE21" s="100"/>
      <c r="AF21" s="100"/>
      <c r="AG21" t="s">
        <v>7</v>
      </c>
      <c r="AI21" t="s">
        <v>13</v>
      </c>
      <c r="AJ21" s="8" t="s">
        <v>9</v>
      </c>
      <c r="AK21" s="5" t="s">
        <v>10</v>
      </c>
      <c r="AL21" s="6" t="s">
        <v>11</v>
      </c>
      <c r="AN21" s="1"/>
      <c r="AO21" s="99"/>
      <c r="AP21" s="100"/>
      <c r="AQ21" t="s">
        <v>7</v>
      </c>
      <c r="AS21" t="s">
        <v>13</v>
      </c>
      <c r="AT21" s="8" t="s">
        <v>9</v>
      </c>
      <c r="AU21" s="5" t="s">
        <v>10</v>
      </c>
      <c r="AV21" s="6" t="s">
        <v>11</v>
      </c>
      <c r="AW21" s="1"/>
      <c r="AX21" s="1"/>
      <c r="AY21" s="99"/>
      <c r="AZ21" s="100"/>
      <c r="BA21" t="s">
        <v>7</v>
      </c>
      <c r="BC21" t="s">
        <v>13</v>
      </c>
      <c r="BD21" s="8" t="s">
        <v>9</v>
      </c>
      <c r="BE21" s="9" t="s">
        <v>10</v>
      </c>
      <c r="BF21" s="6" t="s">
        <v>11</v>
      </c>
      <c r="BG21" s="1"/>
      <c r="BH21" s="1"/>
    </row>
    <row r="22" spans="1:60" ht="16" customHeight="1" x14ac:dyDescent="0.3">
      <c r="A22" s="100"/>
      <c r="B22" s="100"/>
      <c r="C22" s="7">
        <v>4</v>
      </c>
      <c r="E22">
        <f>IF(C22=-1,0,IF(C22&lt;=3,词条!C9,词条!D9))</f>
        <v>4</v>
      </c>
      <c r="F22" s="8">
        <f>IF(C22=-1,0,IF(路线!C6="计算",INT((C24/100)*路线!B11+D24*路线!B14+E22*(路线!B28+路线!B29)+E24+20),INT((C24/100)*路线!B11+D24*路线!B14+E22*(路线!B28+路线!B29)+E24)))</f>
        <v>176</v>
      </c>
      <c r="G22" s="5">
        <f>IF(C22=-1,0,IF(路线!C6="计算",INT((C24/100)*路线!B12+D24*路线!B17+E22*(路线!B28+路线!B29)+E24+20),INT((C24/100)*路线!B12+D24*路线!B17+E22*(路线!B28+路线!B29)+E24)))</f>
        <v>151</v>
      </c>
      <c r="H22" s="6">
        <f>IF(C22=-1,0,IF(路线!C6="计算",INT((C24/100)*路线!B13+D24*路线!B20+E22*(路线!B28+路线!B29)+E24+20),INT((C24/100)*路线!B13+D24*路线!B20+E22*(路线!B28+路线!B29)+E24)))</f>
        <v>97</v>
      </c>
      <c r="K22" s="100"/>
      <c r="L22" s="100"/>
      <c r="M22" s="7">
        <v>4</v>
      </c>
      <c r="O22">
        <f>IF(M22=-1,0,IF(M22&lt;=3,词条!C9,词条!D9))</f>
        <v>4</v>
      </c>
      <c r="P22" s="8">
        <f>IF(M22=-1,0,IF(路线!C6="计算",INT(M24+N24*路线!B15+O22*(路线!B28+路线!B29)+O24+20),INT(M24+N24*路线!B15+O22*(路线!B28+路线!B29)+O24)))</f>
        <v>204</v>
      </c>
      <c r="Q22" s="5">
        <f>IF(M22=-1,0,IF(路线!C6="计算",INT(M24+N24*路线!B18+O22*(路线!B28+路线!B29)+O24+20),INT(M24+N24*路线!B18+O22*(路线!B28+路线!B29)+O24)))</f>
        <v>187</v>
      </c>
      <c r="R22" s="6">
        <f>IF(M22=-1,0,IF(路线!C6="计算",INT(M24+N24*路线!B21+O22*(路线!B28+路线!B29)+O24+20),INT(M24+N24*路线!B21+O22*(路线!B28+路线!B29)+O24)))</f>
        <v>136</v>
      </c>
      <c r="U22" s="100"/>
      <c r="V22" s="100"/>
      <c r="W22" s="7">
        <v>4</v>
      </c>
      <c r="Y22">
        <f>IF(W22=-1,0,IF(W22&lt;=3,词条!C14,词条!D14))</f>
        <v>3</v>
      </c>
      <c r="Z22" s="8">
        <f>IF(W22=-1,0,IF(路线!C6="计算",INT((W24/100)*路线!B11+X24*路线!B14+Y22*路线!B23+Y24+20),INT((W24/100)*路线!B11+X24*路线!B14+Y22*路线!B23+Y24)))</f>
        <v>190</v>
      </c>
      <c r="AA22" s="5">
        <f>IF(W22=-1,0,IF(路线!C6="计算",INT((W24/100)*路线!B12+X24*路线!B17+Y22*路线!B23+Y24+20),INT((W24/100)*路线!B12+X24*路线!B17+Y22*路线!B23+Y24)))</f>
        <v>165</v>
      </c>
      <c r="AB22" s="6">
        <f>IF(W22=-1,0,IF(路线!C6="计算",INT((W24/100)*路线!B13+X24*路线!B20+Y22*路线!B23+Y24+20),INT((W24/100)*路线!B13+X24*路线!B20+Y22*路线!B23+Y24)))</f>
        <v>111</v>
      </c>
      <c r="AE22" s="100"/>
      <c r="AF22" s="100"/>
      <c r="AG22" s="7">
        <v>4</v>
      </c>
      <c r="AI22">
        <f>IF(AG22=-1,0,IF(AG22&lt;=3,词条!I6,词条!J6))</f>
        <v>4</v>
      </c>
      <c r="AJ22" s="5">
        <f>IF(AG22=-1,0,IF(路线!C6="计算",INT((AG24/100)*路线!B11+AH24*路线!B34+AI22*路线!B14+AI24+20),INT((AG24/100)*路线!B11+AH24*路线!B34+AI22*路线!B14+AI24)))</f>
        <v>156</v>
      </c>
      <c r="AK22" s="5">
        <f>IF(AG22=-1,0,IF(路线!C6="计算",INT((AG24/100)*路线!B12+AH24*路线!B34+AI22*路线!B17+AI24+20),INT((AG24/100)*路线!B12+AH24*路线!B34+AI22*路线!B17+AI24)))</f>
        <v>138</v>
      </c>
      <c r="AL22" s="5">
        <f>IF(AG22=-1,0,IF(路线!C6="计算",INT((AG24/100)*路线!B13+AH24*路线!B34+AI22*路线!B20+AI24+20),INT((AG24/100)*路线!B13+AH24*路线!B34+AI22*路线!B20+AI24)))</f>
        <v>99</v>
      </c>
      <c r="AN22" s="1"/>
      <c r="AO22" s="100"/>
      <c r="AP22" s="100"/>
      <c r="AQ22" s="7">
        <v>4</v>
      </c>
      <c r="AS22">
        <f>IF(AQ22=-1,0,IF(AQ22&lt;=3,词条!I6,词条!J6))</f>
        <v>4</v>
      </c>
      <c r="AT22" s="5">
        <f>IF(AQ22=-1,0,IF(路线!C6="计算",INT((AQ24/100)*路线!B11+AR24*路线!B34+AS22*路线!B14+AS24+20),INT((AQ24/100)*路线!B11+AR24*路线!B34+AS22*路线!B14+AS24)))</f>
        <v>156</v>
      </c>
      <c r="AU22" s="5">
        <f>IF(AQ22=-1,0,IF(路线!C6="计算",INT((AQ24/100)*路线!B12+AR24*路线!B34+AS22*路线!B17+AS24+20),INT((AQ24/100)*路线!B12+AR24*路线!B34+AS22*路线!B17+AS24)))</f>
        <v>138</v>
      </c>
      <c r="AV22" s="9">
        <f>IF(AQ22=-1,0,IF(路线!C6="计算",INT((AQ24/100)*路线!B13+AR24*路线!B34+AS22*路线!B20+AS24+20),INT((AQ24/100)*路线!B13+AR24*路线!B34+AS22*路线!B20+AS24)))</f>
        <v>99</v>
      </c>
      <c r="AW22" s="1"/>
      <c r="AX22" s="1"/>
      <c r="AY22" s="100"/>
      <c r="AZ22" s="100"/>
      <c r="BA22" s="7">
        <v>4</v>
      </c>
      <c r="BC22">
        <f>IF(BA22=-1,0,IF(BA22&lt;=3,词条!I6,词条!J6))</f>
        <v>4</v>
      </c>
      <c r="BD22" s="5">
        <f>IF(BA22=-1,0,IF(路线!C6="计算",INT(BA24+BB24*路线!B34+BC22*路线!B14+BC24+20),INT(BA24+BB24*路线!B34+BC22*路线!B14+BC24)))</f>
        <v>144</v>
      </c>
      <c r="BE22" s="5">
        <f>IF(BA22=-1,0,IF(路线!C6="计算",INT(BA24+BB24*路线!B34+BC22*路线!B17+BC24+20),INT(BA24+BB24*路线!B34+BC22*路线!B17+BC24)))</f>
        <v>140</v>
      </c>
      <c r="BF22" s="9">
        <f>IF(BA22=-1,0,IF(路线!C6="计算",INT(BA24+BB24*路线!B34+BC22*路线!B20+BC24+20),INT(BA24+BB24*路线!B34+BC22*路线!B20+BC24)))</f>
        <v>128</v>
      </c>
      <c r="BG22" s="1"/>
      <c r="BH22" s="1"/>
    </row>
    <row r="23" spans="1:60" ht="16" customHeight="1" x14ac:dyDescent="0.3">
      <c r="A23" s="100"/>
      <c r="B23" s="100"/>
      <c r="C23" t="s">
        <v>17</v>
      </c>
      <c r="D23" t="s">
        <v>13</v>
      </c>
      <c r="E23" t="s">
        <v>16</v>
      </c>
      <c r="F23" s="101"/>
      <c r="G23" s="100"/>
      <c r="H23" s="100"/>
      <c r="K23" s="100"/>
      <c r="L23" s="100"/>
      <c r="M23" t="s">
        <v>15</v>
      </c>
      <c r="N23" t="s">
        <v>36</v>
      </c>
      <c r="O23" t="s">
        <v>16</v>
      </c>
      <c r="P23" s="104" t="s">
        <v>37</v>
      </c>
      <c r="Q23" s="100"/>
      <c r="R23" s="100"/>
      <c r="U23" s="100"/>
      <c r="V23" s="100"/>
      <c r="W23" t="s">
        <v>17</v>
      </c>
      <c r="X23" t="s">
        <v>13</v>
      </c>
      <c r="Y23" t="s">
        <v>16</v>
      </c>
      <c r="Z23" s="101"/>
      <c r="AA23" s="100"/>
      <c r="AB23" s="100"/>
      <c r="AE23" s="100"/>
      <c r="AF23" s="100"/>
      <c r="AG23" t="s">
        <v>17</v>
      </c>
      <c r="AH23" t="s">
        <v>47</v>
      </c>
      <c r="AI23" t="s">
        <v>16</v>
      </c>
      <c r="AJ23" s="101"/>
      <c r="AK23" s="100"/>
      <c r="AL23" s="100"/>
      <c r="AN23" s="1"/>
      <c r="AO23" s="100"/>
      <c r="AP23" s="100"/>
      <c r="AQ23" t="s">
        <v>17</v>
      </c>
      <c r="AR23" t="s">
        <v>47</v>
      </c>
      <c r="AS23" t="s">
        <v>16</v>
      </c>
      <c r="AT23" s="101"/>
      <c r="AU23" s="100"/>
      <c r="AV23" s="100"/>
      <c r="AW23" s="1"/>
      <c r="AX23" s="1"/>
      <c r="AY23" s="100"/>
      <c r="AZ23" s="100"/>
      <c r="BA23" t="s">
        <v>15</v>
      </c>
      <c r="BB23" t="s">
        <v>47</v>
      </c>
      <c r="BC23" t="s">
        <v>16</v>
      </c>
      <c r="BD23" s="101"/>
      <c r="BE23" s="100"/>
      <c r="BF23" s="100"/>
      <c r="BG23" s="1"/>
      <c r="BH23" s="1"/>
    </row>
    <row r="24" spans="1:60" ht="16" customHeight="1" x14ac:dyDescent="0.3">
      <c r="A24" s="100"/>
      <c r="B24" s="100"/>
      <c r="C24">
        <f>IF(C22=-1,0,INDEX(词条!C4:G4,C22+1))</f>
        <v>8.5</v>
      </c>
      <c r="D24">
        <f>IF(C22=-1,0,IF(C22&lt;=2,词条!C6,词条!D6))</f>
        <v>6</v>
      </c>
      <c r="E24">
        <f>IF(C22=-1,0,CHOOSE(C22+1,词条!C2,词条!D2,词条!D2,词条!D2,词条!E2))</f>
        <v>40</v>
      </c>
      <c r="F24" s="102" t="s">
        <v>22</v>
      </c>
      <c r="G24" s="100"/>
      <c r="H24" s="100"/>
      <c r="K24" s="100"/>
      <c r="L24" s="100"/>
      <c r="M24">
        <f>IF(M22=-1,0,INDEX(词条!C3:G3,M22+1))</f>
        <v>60</v>
      </c>
      <c r="N24">
        <f>IF(M22=-1,0,IF(M22&lt;=2,词条!C7,词条!D7))</f>
        <v>17</v>
      </c>
      <c r="O24">
        <f>IF(M22=-1,0,CHOOSE(M22+1,词条!C2,词条!D2,词条!D2,词条!D2,词条!E2))</f>
        <v>40</v>
      </c>
      <c r="P24" s="102" t="s">
        <v>22</v>
      </c>
      <c r="Q24" s="100"/>
      <c r="R24" s="100"/>
      <c r="U24" s="100"/>
      <c r="V24" s="100"/>
      <c r="W24">
        <f>IF(W22=-1,0,INDEX(词条!C4:G4,W22+1))</f>
        <v>8.5</v>
      </c>
      <c r="X24">
        <f>IF(W22=-1,0,IF(W22&lt;=2,词条!C6,词条!D6))</f>
        <v>6</v>
      </c>
      <c r="Y24">
        <f>IF(W22=-1,0,CHOOSE(W22+1,词条!C2,词条!D2,词条!D2,词条!D2,词条!E2))</f>
        <v>40</v>
      </c>
      <c r="Z24" s="102" t="s">
        <v>22</v>
      </c>
      <c r="AA24" s="100"/>
      <c r="AB24" s="100"/>
      <c r="AE24" s="100"/>
      <c r="AF24" s="100"/>
      <c r="AG24">
        <f>IF(AG22=-1,0,INDEX(词条!I4:M4,AG22+1))</f>
        <v>6.4</v>
      </c>
      <c r="AH24">
        <f>IF(AG22=-1,0,IF(AG22&lt;=2,词条!I12,词条!J12))</f>
        <v>11</v>
      </c>
      <c r="AI24">
        <f>IF(AG22=-1,0,CHOOSE(AG22+1,词条!I2,词条!I2,词条!J2,词条!J2,词条!K2))</f>
        <v>30</v>
      </c>
      <c r="AJ24" s="102" t="s">
        <v>22</v>
      </c>
      <c r="AK24" s="100"/>
      <c r="AL24" s="100"/>
      <c r="AN24" s="1"/>
      <c r="AO24" s="100"/>
      <c r="AP24" s="100"/>
      <c r="AQ24">
        <f>IF(AQ22=-1,0,INDEX(词条!I4:M4,AQ22+1))</f>
        <v>6.4</v>
      </c>
      <c r="AR24">
        <f>IF(AQ22=-1,0,IF(AQ22&lt;=2,词条!I12,词条!J12))</f>
        <v>11</v>
      </c>
      <c r="AS24">
        <f>IF(AQ22=-1,0,CHOOSE(AQ22+1,词条!I2,词条!I2,词条!J2,词条!J2,词条!K2))</f>
        <v>30</v>
      </c>
      <c r="AT24" s="102" t="s">
        <v>22</v>
      </c>
      <c r="AU24" s="100"/>
      <c r="AV24" s="100"/>
      <c r="AW24" s="1"/>
      <c r="AX24" s="1"/>
      <c r="AY24" s="100"/>
      <c r="AZ24" s="100"/>
      <c r="BA24">
        <f>IF(BA22=-1,0,INDEX(词条!I3:M3,BA22+1))</f>
        <v>45</v>
      </c>
      <c r="BB24">
        <f>IF(BA22=-1,0,IF(BA22&lt;=2,词条!I12,词条!J12))</f>
        <v>11</v>
      </c>
      <c r="BC24">
        <f>IF(BA22=-1,0,CHOOSE(BA22+1,词条!I2,词条!I2,词条!J2,词条!J2,词条!K2))</f>
        <v>30</v>
      </c>
      <c r="BD24" s="102" t="s">
        <v>22</v>
      </c>
      <c r="BE24" s="100"/>
      <c r="BF24" s="100"/>
      <c r="BG24" s="1"/>
      <c r="BH24" s="1"/>
    </row>
    <row r="25" spans="1:60" ht="16"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16" customHeight="1" x14ac:dyDescent="0.3">
      <c r="A26" s="103" t="s">
        <v>48</v>
      </c>
      <c r="B26" s="100"/>
      <c r="C26" s="100"/>
      <c r="D26" s="100"/>
      <c r="E26" s="100"/>
      <c r="F26" s="100"/>
      <c r="G26" s="100"/>
      <c r="H26" s="1"/>
      <c r="K26" s="100" t="s">
        <v>49</v>
      </c>
      <c r="L26" s="100"/>
      <c r="M26" s="100"/>
      <c r="N26" s="100"/>
      <c r="O26" s="100"/>
      <c r="P26" s="100"/>
      <c r="Q26" s="100"/>
      <c r="U26" s="103" t="s">
        <v>50</v>
      </c>
      <c r="V26" s="100"/>
      <c r="W26" s="100"/>
      <c r="X26" s="100"/>
      <c r="Y26" s="100"/>
      <c r="Z26" s="100"/>
      <c r="AA26" s="100"/>
      <c r="AE26" s="100" t="s">
        <v>51</v>
      </c>
      <c r="AF26" s="100"/>
      <c r="AG26" s="100"/>
      <c r="AH26" s="100"/>
      <c r="AI26" s="100"/>
      <c r="AJ26" s="100"/>
      <c r="AK26" s="100"/>
      <c r="AL26" s="1"/>
      <c r="AM26" s="1"/>
      <c r="AN26" s="1"/>
      <c r="AO26" s="100" t="s">
        <v>52</v>
      </c>
      <c r="AP26" s="100"/>
      <c r="AQ26" s="100"/>
      <c r="AR26" s="100"/>
      <c r="AS26" s="100"/>
      <c r="AT26" s="100"/>
      <c r="AU26" s="100"/>
      <c r="AV26" s="1"/>
      <c r="AW26" s="1"/>
      <c r="AX26" s="1"/>
      <c r="AY26" s="100" t="s">
        <v>53</v>
      </c>
      <c r="AZ26" s="100"/>
      <c r="BA26" s="100"/>
      <c r="BB26" s="100"/>
      <c r="BC26" s="100"/>
      <c r="BD26" s="100"/>
      <c r="BE26" s="100"/>
      <c r="BF26" s="1"/>
      <c r="BG26" s="1"/>
      <c r="BH26" s="1"/>
    </row>
    <row r="27" spans="1:60" ht="63" customHeight="1" x14ac:dyDescent="0.3">
      <c r="A27" s="101"/>
      <c r="B27" s="100"/>
      <c r="C27" t="s">
        <v>7</v>
      </c>
      <c r="E27" t="s">
        <v>36</v>
      </c>
      <c r="F27" s="8" t="s">
        <v>9</v>
      </c>
      <c r="G27" s="5" t="s">
        <v>10</v>
      </c>
      <c r="H27" s="6" t="s">
        <v>11</v>
      </c>
      <c r="K27" s="101"/>
      <c r="L27" s="100"/>
      <c r="M27" t="s">
        <v>7</v>
      </c>
      <c r="O27" t="s">
        <v>18</v>
      </c>
      <c r="P27" s="8" t="s">
        <v>9</v>
      </c>
      <c r="Q27" s="5" t="s">
        <v>10</v>
      </c>
      <c r="R27" s="6" t="s">
        <v>11</v>
      </c>
      <c r="U27" s="101"/>
      <c r="V27" s="100"/>
      <c r="W27" t="s">
        <v>7</v>
      </c>
      <c r="Y27" t="s">
        <v>14</v>
      </c>
      <c r="Z27" s="8" t="s">
        <v>9</v>
      </c>
      <c r="AA27" s="5" t="s">
        <v>10</v>
      </c>
      <c r="AB27" s="6" t="s">
        <v>11</v>
      </c>
      <c r="AE27" s="101"/>
      <c r="AF27" s="100"/>
      <c r="AG27" t="s">
        <v>7</v>
      </c>
      <c r="AI27" t="s">
        <v>36</v>
      </c>
      <c r="AJ27" s="8" t="s">
        <v>9</v>
      </c>
      <c r="AK27" s="5" t="s">
        <v>10</v>
      </c>
      <c r="AL27" s="6" t="s">
        <v>11</v>
      </c>
      <c r="AN27" s="1"/>
      <c r="AO27" s="100"/>
      <c r="AP27" s="100"/>
      <c r="AQ27" t="s">
        <v>7</v>
      </c>
      <c r="AS27" t="s">
        <v>13</v>
      </c>
      <c r="AT27" s="8" t="s">
        <v>9</v>
      </c>
      <c r="AU27" s="5" t="s">
        <v>10</v>
      </c>
      <c r="AV27" s="6" t="s">
        <v>11</v>
      </c>
      <c r="AW27" s="1"/>
      <c r="AX27" s="1"/>
      <c r="AY27" s="101"/>
      <c r="AZ27" s="100"/>
      <c r="BA27" t="s">
        <v>7</v>
      </c>
      <c r="BC27" t="s">
        <v>36</v>
      </c>
      <c r="BD27" s="8" t="s">
        <v>9</v>
      </c>
      <c r="BE27" s="9" t="s">
        <v>10</v>
      </c>
      <c r="BF27" s="6" t="s">
        <v>11</v>
      </c>
      <c r="BG27" s="1"/>
      <c r="BH27" s="1"/>
    </row>
    <row r="28" spans="1:60" ht="16" customHeight="1" x14ac:dyDescent="0.3">
      <c r="A28" s="100"/>
      <c r="B28" s="100"/>
      <c r="C28" s="7">
        <v>4</v>
      </c>
      <c r="E28">
        <f>IF(C28=-1,0,IF(C28&lt;=3,词条!F7,词条!G7))</f>
        <v>13</v>
      </c>
      <c r="F28" s="8">
        <f>IF(C28=-1,0,IF(路线!C6="计算",INT((C30/100)*路线!B11+D30*路线!B29+E28*路线!B15+E30+20),INT((C30/100)*路线!B11+D30*路线!B29+E28*路线!B15+E30)))</f>
        <v>202</v>
      </c>
      <c r="G28" s="5">
        <f>IF(C28=-1,0,IF(路线!C6="计算",INT((C30/100)*路线!B12+D30*路线!B29+E28*路线!B18+E30+20),INT((C30/100)*路线!B12+D30*路线!B29+E28*路线!B18+E30)))</f>
        <v>170</v>
      </c>
      <c r="H28" s="6">
        <f>IF(C28=-1,0,IF(路线!C6="计算",INT((C30/100)*路线!B13+D30*路线!B29+E28*路线!B21+E30+20),INT((C30/100)*路线!B13+D30*路线!B29+E28*路线!B21+E30)))</f>
        <v>95</v>
      </c>
      <c r="K28" s="100"/>
      <c r="L28" s="100"/>
      <c r="M28" s="7">
        <v>4</v>
      </c>
      <c r="O28">
        <f>IF(M28=-1,0,IF(M28&lt;=3,词条!C13,词条!D13))</f>
        <v>3</v>
      </c>
      <c r="P28" s="8">
        <f>IF(M28=-1,0,INT((M30/100)*路线!B11+N30*路线!B34+O28*路线!B24+O30))</f>
        <v>203</v>
      </c>
      <c r="Q28" s="5">
        <f>IF(M28=-1,0,INT((M30/100)*路线!B12+N30*路线!B34+O28*路线!B24+O30))</f>
        <v>184</v>
      </c>
      <c r="R28" s="6">
        <f>IF(M28=-1,0,INT((M30/100)*路线!B13+N30*路线!B34+O28*路线!B24+O30))</f>
        <v>148</v>
      </c>
      <c r="U28" s="100"/>
      <c r="V28" s="100"/>
      <c r="W28" s="7">
        <v>4</v>
      </c>
      <c r="Y28">
        <f>IF(W28=-1,0,IF(W28&lt;=3,词条!C9,词条!D9))</f>
        <v>4</v>
      </c>
      <c r="Z28" s="8">
        <f>IF(W28=-1,0,INT((W30/100)*路线!B11+X30*路线!B15+Y28*(路线!B28+路线!B29)+Y30))</f>
        <v>200</v>
      </c>
      <c r="AA28" s="5">
        <f>IF(W28=-1,0,INT((W30/100)*路线!B12+X30*路线!B18+Y28*(路线!B28+路线!B29)+Y30))</f>
        <v>164</v>
      </c>
      <c r="AB28" s="6">
        <f>IF(W28=-1,0,INT((W30/100)*路线!B13+X30*路线!B21+Y28*(路线!B28+路线!B29)+Y30))</f>
        <v>77</v>
      </c>
      <c r="AE28" s="100"/>
      <c r="AF28" s="100"/>
      <c r="AG28" s="7">
        <v>4</v>
      </c>
      <c r="AI28">
        <f>IF(AG28=-1,0,IF(AG28&lt;=3,词条!I7,词条!J7))</f>
        <v>13</v>
      </c>
      <c r="AJ28" s="5">
        <f>IF(AG28=-1,0,INT((AG30/100)*路线!B11+AH30+AI28*路线!B15+AI30))</f>
        <v>156</v>
      </c>
      <c r="AK28" s="5">
        <f>IF(AG28=-1,0,INT((AG30/100)*路线!B12+AH30+AI28*路线!B18+AI30))</f>
        <v>129</v>
      </c>
      <c r="AL28" s="5">
        <f>IF(AG28=-1,0,INT((AG30/100)*路线!B13+AH30+AI28*路线!B21+AI30))</f>
        <v>63</v>
      </c>
      <c r="AN28" s="1"/>
      <c r="AO28" s="100"/>
      <c r="AP28" s="100"/>
      <c r="AQ28" s="7">
        <v>4</v>
      </c>
      <c r="AS28">
        <f>IF(AQ28=-1,0,IF(AQ28&lt;=3,词条!I6,词条!J6))</f>
        <v>4</v>
      </c>
      <c r="AT28" s="5">
        <f>IF(AQ28=-1,0,IF(路线!C6="计算",INT(AQ30+AR30*路线!B32+AS28*路线!B14+AS30+20),INT(AQ30+AR30*路线!B32+AS28*路线!B14+AS30)))</f>
        <v>145</v>
      </c>
      <c r="AU28" s="5">
        <f>IF(AQ28=-1,0,IF(路线!C6="计算",INT(AQ30+AR30*路线!B32+AS28*路线!B17+AS30+20),INT(AQ30+AR30*路线!B32+AS28*路线!B17+AS30)))</f>
        <v>141</v>
      </c>
      <c r="AV28" s="9">
        <f>IF(AQ28=-1,0,IF(路线!C6="计算",INT(AQ30+AR30*路线!B32+AS28*路线!B20+AS30+20),INT(AQ30+AR30*路线!B32+AS28*路线!B20+AS30)))</f>
        <v>129</v>
      </c>
      <c r="AW28" s="1"/>
      <c r="AX28" s="1"/>
      <c r="AY28" s="100"/>
      <c r="AZ28" s="100"/>
      <c r="BA28" s="7">
        <v>4</v>
      </c>
      <c r="BC28">
        <f>IF(BA28=-1,0,IF(BA28&lt;=3,词条!I7,词条!J7))</f>
        <v>13</v>
      </c>
      <c r="BD28" s="5">
        <f>IF(BA28=-1,0,IF(路线!C6="计算",INT((BA30/100)*路线!B11+BB30+BC28*路线!B15+BC30+20),INT((BA30/100)*路线!B11+BB30+BC28*路线!B15+BC30)))</f>
        <v>176</v>
      </c>
      <c r="BE28" s="5">
        <f>IF(BA28=-1,0,IF(路线!C6="计算",INT((BA30/100)*路线!B12+BB30+BC28*路线!B18+BC30+20),INT((BA30/100)*路线!B12+BB30+BC28*路线!B18+BC30)))</f>
        <v>149</v>
      </c>
      <c r="BF28" s="9">
        <f>IF(BA28=-1,0,IF(路线!C6="计算",INT((BA30/100)*路线!B13+BB30+BC28*路线!B21+BC30+20),INT((BA30/100)*路线!B13+BB30+BC28*路线!B21+BC30)))</f>
        <v>83</v>
      </c>
      <c r="BG28" s="1"/>
      <c r="BH28" s="1"/>
    </row>
    <row r="29" spans="1:60" ht="16" customHeight="1" x14ac:dyDescent="0.3">
      <c r="A29" s="100"/>
      <c r="B29" s="100"/>
      <c r="C29" t="s">
        <v>17</v>
      </c>
      <c r="D29" t="s">
        <v>38</v>
      </c>
      <c r="E29" t="s">
        <v>16</v>
      </c>
      <c r="F29" s="101"/>
      <c r="G29" s="100"/>
      <c r="H29" s="100"/>
      <c r="K29" s="100"/>
      <c r="L29" s="100"/>
      <c r="M29" t="s">
        <v>17</v>
      </c>
      <c r="N29" t="s">
        <v>47</v>
      </c>
      <c r="O29" t="s">
        <v>16</v>
      </c>
      <c r="P29" s="101"/>
      <c r="Q29" s="100"/>
      <c r="R29" s="100"/>
      <c r="U29" s="100"/>
      <c r="V29" s="100"/>
      <c r="W29" t="s">
        <v>17</v>
      </c>
      <c r="X29" t="s">
        <v>36</v>
      </c>
      <c r="Y29" t="s">
        <v>16</v>
      </c>
      <c r="Z29" s="101"/>
      <c r="AA29" s="100"/>
      <c r="AB29" s="100"/>
      <c r="AE29" s="100"/>
      <c r="AF29" s="100"/>
      <c r="AG29" t="s">
        <v>17</v>
      </c>
      <c r="AH29" t="s">
        <v>39</v>
      </c>
      <c r="AI29" t="s">
        <v>16</v>
      </c>
      <c r="AJ29" s="104" t="s">
        <v>37</v>
      </c>
      <c r="AK29" s="100"/>
      <c r="AL29" s="100"/>
      <c r="AN29" s="1"/>
      <c r="AO29" s="100"/>
      <c r="AP29" s="100"/>
      <c r="AQ29" t="s">
        <v>15</v>
      </c>
      <c r="AR29" t="s">
        <v>21</v>
      </c>
      <c r="AS29" t="s">
        <v>16</v>
      </c>
      <c r="AT29" s="101"/>
      <c r="AU29" s="100"/>
      <c r="AV29" s="100"/>
      <c r="AW29" s="1"/>
      <c r="AX29" s="1"/>
      <c r="AY29" s="100"/>
      <c r="AZ29" s="100"/>
      <c r="BA29" t="s">
        <v>17</v>
      </c>
      <c r="BB29" t="s">
        <v>39</v>
      </c>
      <c r="BC29" t="s">
        <v>16</v>
      </c>
      <c r="BD29" s="104" t="s">
        <v>37</v>
      </c>
      <c r="BE29" s="100"/>
      <c r="BF29" s="100"/>
      <c r="BG29" s="1"/>
      <c r="BH29" s="1"/>
    </row>
    <row r="30" spans="1:60" ht="16" customHeight="1" x14ac:dyDescent="0.3">
      <c r="A30" s="100"/>
      <c r="B30" s="100"/>
      <c r="C30">
        <f>IF(C28=-1,0,INDEX(词条!C4:G4,C28+1))</f>
        <v>8.5</v>
      </c>
      <c r="D30">
        <f>IF(C28=-1,0,IF(C28&lt;=2,词条!F10,词条!G10))</f>
        <v>7</v>
      </c>
      <c r="E30">
        <f>IF(C28=-1,0,CHOOSE(C28+1,词条!C2,词条!D2,词条!D2,词条!D2,词条!E2))</f>
        <v>40</v>
      </c>
      <c r="F30" s="106" t="s">
        <v>54</v>
      </c>
      <c r="G30" s="100"/>
      <c r="H30" s="100"/>
      <c r="K30" s="100"/>
      <c r="L30" s="100"/>
      <c r="M30">
        <f>IF(M28=-1,0,INDEX(词条!C4:G4,M28+1))</f>
        <v>8.5</v>
      </c>
      <c r="N30">
        <f>IF(M28=-1,0,IF(M28&lt;=2,词条!C12,词条!D12))</f>
        <v>17</v>
      </c>
      <c r="O30">
        <f>IF(M28=-1,0,CHOOSE(M28+1,词条!C2,词条!D2,词条!D2,词条!D2,词条!E2))</f>
        <v>40</v>
      </c>
      <c r="P30" s="102" t="s">
        <v>22</v>
      </c>
      <c r="Q30" s="100"/>
      <c r="R30" s="100"/>
      <c r="U30" s="100"/>
      <c r="V30" s="100"/>
      <c r="W30">
        <f>IF(W28=-1,0,INDEX(词条!C4:G4,W28+1))</f>
        <v>8.5</v>
      </c>
      <c r="X30">
        <f>IF(W28=-1,0,IF(W28&lt;=2,词条!C7,词条!D7))</f>
        <v>17</v>
      </c>
      <c r="Y30">
        <f>IF(W28=-1,0,CHOOSE(W28+1,词条!C2,词条!D2,词条!D2,词条!D2,词条!E2))</f>
        <v>40</v>
      </c>
      <c r="Z30" s="102" t="s">
        <v>22</v>
      </c>
      <c r="AA30" s="100"/>
      <c r="AB30" s="100"/>
      <c r="AE30" s="100"/>
      <c r="AF30" s="100"/>
      <c r="AG30">
        <f>IF(AG28=-1,0,INDEX(词条!I4:M4,AG28+1))</f>
        <v>6.4</v>
      </c>
      <c r="AH30">
        <f>IF(AG28=-1,0,IF(AG28&lt;=2,词条!I19,词条!J19))</f>
        <v>17</v>
      </c>
      <c r="AI30">
        <f>IF(AG28=-1,0,CHOOSE(AG28+1,词条!I2,词条!I2,词条!J2,词条!J2,词条!K2))</f>
        <v>30</v>
      </c>
      <c r="AJ30" s="102" t="s">
        <v>22</v>
      </c>
      <c r="AK30" s="100"/>
      <c r="AL30" s="100"/>
      <c r="AN30" s="1"/>
      <c r="AO30" s="100"/>
      <c r="AP30" s="100"/>
      <c r="AQ30">
        <f>IF(AQ28=-1,0,INDEX(词条!I3:M3,AQ28+1))</f>
        <v>45</v>
      </c>
      <c r="AR30">
        <f>IF(AQ28=-1,0,IF(AQ28&lt;=2,词条!I5,词条!J5))</f>
        <v>17</v>
      </c>
      <c r="AS30">
        <f>IF(AQ28=-1,0,CHOOSE(AQ28+1,词条!I2,词条!I2,词条!J2,词条!J2,词条!K2))</f>
        <v>30</v>
      </c>
      <c r="AT30" s="106" t="s">
        <v>54</v>
      </c>
      <c r="AU30" s="100"/>
      <c r="AV30" s="100"/>
      <c r="AW30" s="1"/>
      <c r="AX30" s="1"/>
      <c r="AY30" s="100"/>
      <c r="AZ30" s="100"/>
      <c r="BA30">
        <f>IF(BA28=-1,0,INDEX(词条!I4:M4,BA28+1))</f>
        <v>6.4</v>
      </c>
      <c r="BB30">
        <f>IF(BA28=-1,0,IF(BA28&lt;=2,词条!I19,词条!J19))</f>
        <v>17</v>
      </c>
      <c r="BC30">
        <f>IF(BA28=-1,0,CHOOSE(BA28+1,词条!I2,词条!I2,词条!J2,词条!J2,词条!K2))</f>
        <v>30</v>
      </c>
      <c r="BD30" s="102" t="s">
        <v>22</v>
      </c>
      <c r="BE30" s="100"/>
      <c r="BF30" s="100"/>
      <c r="BG30" s="1"/>
      <c r="BH30" s="1"/>
    </row>
    <row r="31" spans="1:60" ht="16"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16" customHeight="1" x14ac:dyDescent="0.3">
      <c r="A32" s="100" t="s">
        <v>55</v>
      </c>
      <c r="B32" s="100"/>
      <c r="C32" s="100"/>
      <c r="D32" s="100"/>
      <c r="E32" s="100"/>
      <c r="F32" s="100"/>
      <c r="G32" s="100"/>
      <c r="H32" s="1"/>
      <c r="K32" s="100" t="s">
        <v>56</v>
      </c>
      <c r="L32" s="100"/>
      <c r="M32" s="100"/>
      <c r="N32" s="100"/>
      <c r="O32" s="100"/>
      <c r="P32" s="100"/>
      <c r="Q32" s="100"/>
      <c r="U32" s="100" t="s">
        <v>57</v>
      </c>
      <c r="V32" s="100"/>
      <c r="W32" s="100"/>
      <c r="X32" s="100"/>
      <c r="Y32" s="100"/>
      <c r="Z32" s="100"/>
      <c r="AA32" s="100"/>
      <c r="AB32" s="1"/>
      <c r="AC32" s="1"/>
      <c r="AD32" s="1"/>
      <c r="AE32" s="99" t="s">
        <v>58</v>
      </c>
      <c r="AF32" s="100"/>
      <c r="AG32" s="100"/>
      <c r="AH32" s="100"/>
      <c r="AI32" s="100"/>
      <c r="AJ32" s="100"/>
      <c r="AK32" s="100"/>
      <c r="AL32" s="1"/>
      <c r="AM32" s="1"/>
      <c r="AN32" s="1"/>
      <c r="AO32" s="99" t="s">
        <v>59</v>
      </c>
      <c r="AP32" s="100"/>
      <c r="AQ32" s="100"/>
      <c r="AR32" s="100"/>
      <c r="AS32" s="100"/>
      <c r="AT32" s="100"/>
      <c r="AU32" s="100"/>
      <c r="AV32" s="1"/>
      <c r="AW32" s="2" t="s">
        <v>5</v>
      </c>
      <c r="AX32" s="17" t="s">
        <v>60</v>
      </c>
      <c r="AY32" s="99" t="s">
        <v>61</v>
      </c>
      <c r="AZ32" s="100"/>
      <c r="BA32" s="100"/>
      <c r="BB32" s="100"/>
      <c r="BC32" s="100"/>
      <c r="BD32" s="100"/>
      <c r="BE32" s="100"/>
      <c r="BF32" s="1"/>
      <c r="BG32" s="2" t="s">
        <v>5</v>
      </c>
      <c r="BH32" s="2" t="s">
        <v>62</v>
      </c>
    </row>
    <row r="33" spans="1:60" ht="63" customHeight="1" x14ac:dyDescent="0.3">
      <c r="A33" s="101"/>
      <c r="B33" s="100"/>
      <c r="C33" t="s">
        <v>7</v>
      </c>
      <c r="E33" t="s">
        <v>14</v>
      </c>
      <c r="F33" s="8" t="s">
        <v>9</v>
      </c>
      <c r="G33" s="5" t="s">
        <v>10</v>
      </c>
      <c r="H33" s="6" t="s">
        <v>11</v>
      </c>
      <c r="K33" s="101"/>
      <c r="L33" s="100"/>
      <c r="M33" t="s">
        <v>7</v>
      </c>
      <c r="O33" t="s">
        <v>19</v>
      </c>
      <c r="P33" s="8" t="s">
        <v>9</v>
      </c>
      <c r="Q33" s="5" t="s">
        <v>10</v>
      </c>
      <c r="R33" s="6" t="s">
        <v>11</v>
      </c>
      <c r="U33" s="101"/>
      <c r="V33" s="100"/>
      <c r="W33" t="s">
        <v>7</v>
      </c>
      <c r="Y33" t="s">
        <v>21</v>
      </c>
      <c r="Z33" s="8" t="s">
        <v>9</v>
      </c>
      <c r="AA33" s="5" t="s">
        <v>10</v>
      </c>
      <c r="AB33" s="6" t="s">
        <v>11</v>
      </c>
      <c r="AE33" s="100"/>
      <c r="AF33" s="100"/>
      <c r="AG33" t="s">
        <v>7</v>
      </c>
      <c r="AI33" t="s">
        <v>21</v>
      </c>
      <c r="AJ33" s="8" t="s">
        <v>9</v>
      </c>
      <c r="AK33" s="5" t="s">
        <v>10</v>
      </c>
      <c r="AL33" s="6" t="s">
        <v>11</v>
      </c>
      <c r="AO33" s="99"/>
      <c r="AP33" s="100"/>
      <c r="AQ33" t="s">
        <v>7</v>
      </c>
      <c r="AS33" t="s">
        <v>13</v>
      </c>
      <c r="AT33" s="8" t="s">
        <v>9</v>
      </c>
      <c r="AU33" s="5" t="s">
        <v>10</v>
      </c>
      <c r="AV33" s="6" t="s">
        <v>11</v>
      </c>
      <c r="AW33" s="16">
        <f>AX33*6</f>
        <v>60</v>
      </c>
      <c r="AX33" s="17">
        <v>10</v>
      </c>
      <c r="AY33" s="99"/>
      <c r="AZ33" s="100"/>
      <c r="BA33" t="s">
        <v>7</v>
      </c>
      <c r="BC33" t="s">
        <v>36</v>
      </c>
      <c r="BD33" s="8" t="s">
        <v>9</v>
      </c>
      <c r="BE33" s="9" t="s">
        <v>10</v>
      </c>
      <c r="BF33" s="6" t="s">
        <v>11</v>
      </c>
      <c r="BG33" s="16">
        <f>BH33*6</f>
        <v>60</v>
      </c>
      <c r="BH33" s="17">
        <v>10</v>
      </c>
    </row>
    <row r="34" spans="1:60" ht="16" customHeight="1" x14ac:dyDescent="0.3">
      <c r="A34" s="100"/>
      <c r="B34" s="100"/>
      <c r="C34" s="7">
        <v>4</v>
      </c>
      <c r="E34">
        <f>IF(C34=-1,0,IF(C34&lt;=3,词条!C9,词条!D9))</f>
        <v>4</v>
      </c>
      <c r="F34" s="8">
        <f>IF(C34=-1,0,INT(C36+D36*路线!B14+E34*(路线!B28+路线!B29)+E36))</f>
        <v>140</v>
      </c>
      <c r="G34" s="5">
        <f>IF(C34=-1,0,INT(C36+D36*路线!B17+E34*(路线!B28+路线!B29)+E36))</f>
        <v>134</v>
      </c>
      <c r="H34" s="6">
        <f>IF(C34=-1,0,INT(C36+D36*路线!B20+E34*(路线!B28+路线!B29)+E36))</f>
        <v>116</v>
      </c>
      <c r="K34" s="100"/>
      <c r="L34" s="100"/>
      <c r="M34" s="7">
        <v>4</v>
      </c>
      <c r="O34">
        <f>IF(M34=-1,0,IF(M34&lt;=3,词条!C17,词条!D17))</f>
        <v>15</v>
      </c>
      <c r="P34" s="8">
        <f>IF(M34=-1,0,INT((M36/100)*路线!B11+N36*路线!B32+O34*路线!B31+O36))</f>
        <v>160</v>
      </c>
      <c r="Q34" s="5">
        <f>IF(M34=-1,0,INT((M36/100)*路线!B12+N36*路线!B32+O34*路线!B31+O36))</f>
        <v>141</v>
      </c>
      <c r="R34" s="6">
        <f>IF(M34=-1,0,INT((M36/100)*路线!B13+N36*路线!B32+O34*路线!B31+O36))</f>
        <v>105</v>
      </c>
      <c r="U34" s="100"/>
      <c r="V34" s="100"/>
      <c r="W34" s="7">
        <v>4</v>
      </c>
      <c r="Y34">
        <f>IF(W34=-1,0,IF(W34&lt;=3,词条!C5,词条!D5))</f>
        <v>22</v>
      </c>
      <c r="Z34" s="8">
        <f>IF(W34=-1,0,INT(W36+X36*路线!B14+Y34*路线!B32+Y36))</f>
        <v>168</v>
      </c>
      <c r="AA34" s="5">
        <f>IF(W34=-1,0,INT(W36+X36*路线!B17+Y34*路线!B32+Y36))</f>
        <v>162</v>
      </c>
      <c r="AB34" s="6">
        <f>IF(W34=-1,0,INT(W36+X36*路线!B20+Y34*路线!B32+Y36))</f>
        <v>144</v>
      </c>
      <c r="AE34" s="100"/>
      <c r="AF34" s="100"/>
      <c r="AG34" s="7">
        <v>4</v>
      </c>
      <c r="AI34">
        <f>IF(AG34=-1,0,IF(AG34&lt;=3,词条!I5,词条!J5))</f>
        <v>17</v>
      </c>
      <c r="AJ34" s="5">
        <f>IF(AG34=-1,0,IF(路线!C6="计算",INT(AG36+AH36*路线!B31+AI34*路线!B32+AI36+20),INT(AG36+AH36*路线!B31+AI34*路线!B32+AI36)))</f>
        <v>129</v>
      </c>
      <c r="AK34" s="5">
        <f>IF(AG34=-1,0,IF(路线!C6="计算",INT(AG36+AH36*路线!B31+AI34*路线!B32+AI36+20),INT(AG36+AH36*路线!B31+AI34*路线!B32+AI36)))</f>
        <v>129</v>
      </c>
      <c r="AL34" s="5">
        <f>IF(AG34=-1,0,IF(路线!C6="计算",INT(AG36+AH36*路线!B31+AI34*路线!B32+AI36+20),INT(AG36+AH36*路线!B31+AI34*路线!B32+AI36)))</f>
        <v>129</v>
      </c>
      <c r="AO34" s="100"/>
      <c r="AP34" s="100"/>
      <c r="AQ34" s="7">
        <v>4</v>
      </c>
      <c r="AS34">
        <f>IF(AQ34=-1,0,IF(AQ34&lt;=3,词条!I6,词条!J6))</f>
        <v>4</v>
      </c>
      <c r="AT34" s="5">
        <f>IF(AQ34=-1,0,INT(AQ36+AR36*路线!B34+AS34*路线!B14+AS36))</f>
        <v>124</v>
      </c>
      <c r="AU34" s="5">
        <f>IF(AQ34=-1,0,INT(AQ36+AR36*路线!B34+AS34*路线!B17+AS36))</f>
        <v>120</v>
      </c>
      <c r="AV34" s="5">
        <f>IF(AQ34=-1,0,INT(AQ36+AR36*路线!B34+AS34*路线!B20+AS36))</f>
        <v>108</v>
      </c>
      <c r="AW34" s="2">
        <f>AT34+AW33</f>
        <v>184</v>
      </c>
      <c r="AX34" s="1"/>
      <c r="AY34" s="100"/>
      <c r="AZ34" s="100"/>
      <c r="BA34" s="7">
        <v>4</v>
      </c>
      <c r="BC34">
        <f>IF(BA34=-1,0,IF(BA34&lt;=3,词条!I7,词条!J7))</f>
        <v>13</v>
      </c>
      <c r="BD34" s="5">
        <f>IF(BA34=-1,0,INT((BA36/100)*路线!B11+BB36*路线!B33+BC34*路线!B15+BC36))</f>
        <v>171</v>
      </c>
      <c r="BE34" s="5">
        <f>IF(BA34=-1,0,INT((BA36/100)*路线!B12+BB36*路线!B33+BC34*路线!B18+BC36))</f>
        <v>144</v>
      </c>
      <c r="BF34" s="9">
        <f>IF(BA34=-1,0,INT((BA36/100)*路线!B13+BB36*路线!B33+BC34*路线!B21+BC36))</f>
        <v>78</v>
      </c>
      <c r="BG34" s="2">
        <f>BD34+BG33</f>
        <v>231</v>
      </c>
      <c r="BH34" s="1"/>
    </row>
    <row r="35" spans="1:60" ht="16" customHeight="1" x14ac:dyDescent="0.3">
      <c r="A35" s="100"/>
      <c r="B35" s="100"/>
      <c r="C35" t="s">
        <v>15</v>
      </c>
      <c r="D35" t="s">
        <v>13</v>
      </c>
      <c r="E35" t="s">
        <v>16</v>
      </c>
      <c r="F35" s="104" t="s">
        <v>37</v>
      </c>
      <c r="G35" s="100"/>
      <c r="H35" s="100"/>
      <c r="K35" s="100"/>
      <c r="L35" s="100"/>
      <c r="M35" t="s">
        <v>17</v>
      </c>
      <c r="N35" t="s">
        <v>21</v>
      </c>
      <c r="O35" t="s">
        <v>16</v>
      </c>
      <c r="P35" s="101"/>
      <c r="Q35" s="100"/>
      <c r="R35" s="100"/>
      <c r="U35" s="100"/>
      <c r="V35" s="100"/>
      <c r="W35" t="s">
        <v>15</v>
      </c>
      <c r="X35" t="s">
        <v>13</v>
      </c>
      <c r="Y35" t="s">
        <v>16</v>
      </c>
      <c r="Z35" s="101"/>
      <c r="AA35" s="100"/>
      <c r="AB35" s="100"/>
      <c r="AE35" s="100"/>
      <c r="AF35" s="100"/>
      <c r="AG35" t="s">
        <v>15</v>
      </c>
      <c r="AH35" t="s">
        <v>19</v>
      </c>
      <c r="AI35" t="s">
        <v>16</v>
      </c>
      <c r="AJ35" s="101"/>
      <c r="AK35" s="100"/>
      <c r="AL35" s="100"/>
      <c r="AO35" s="100"/>
      <c r="AP35" s="100"/>
      <c r="AQ35" t="s">
        <v>15</v>
      </c>
      <c r="AR35" t="s">
        <v>47</v>
      </c>
      <c r="AS35" t="s">
        <v>16</v>
      </c>
      <c r="AT35" s="104" t="s">
        <v>37</v>
      </c>
      <c r="AU35" s="100"/>
      <c r="AV35" s="100"/>
      <c r="AW35" s="2">
        <f>AU34+AW33</f>
        <v>180</v>
      </c>
      <c r="AX35" s="1"/>
      <c r="AY35" s="100"/>
      <c r="AZ35" s="100"/>
      <c r="BA35" t="s">
        <v>17</v>
      </c>
      <c r="BB35" t="s">
        <v>20</v>
      </c>
      <c r="BC35" t="s">
        <v>16</v>
      </c>
      <c r="BD35" s="101"/>
      <c r="BE35" s="100"/>
      <c r="BF35" s="100"/>
      <c r="BG35" s="2">
        <f>BE34+BG33</f>
        <v>204</v>
      </c>
      <c r="BH35" s="1"/>
    </row>
    <row r="36" spans="1:60" ht="16" customHeight="1" x14ac:dyDescent="0.3">
      <c r="A36" s="100"/>
      <c r="B36" s="100"/>
      <c r="C36">
        <f>IF(C34=-1,0,INDEX(词条!C3:G3,C34+1))</f>
        <v>60</v>
      </c>
      <c r="D36">
        <f>IF(C34=-1,0,IF(C34&lt;=2,词条!C6,词条!D6))</f>
        <v>6</v>
      </c>
      <c r="E36">
        <f>IF(C34=-1,0,CHOOSE(C34+1,词条!C2,词条!D2,词条!D2,词条!D2,词条!E2))</f>
        <v>40</v>
      </c>
      <c r="F36" s="102" t="s">
        <v>22</v>
      </c>
      <c r="G36" s="100"/>
      <c r="H36" s="100"/>
      <c r="K36" s="100"/>
      <c r="L36" s="100"/>
      <c r="M36">
        <f>IF(M34=-1,0,INDEX(词条!C4:G4,M34+1))</f>
        <v>8.5</v>
      </c>
      <c r="N36">
        <f>IF(M34=-1,0,IF(M34&lt;=2,词条!C5,词条!D5))</f>
        <v>22</v>
      </c>
      <c r="O36">
        <f>IF(M34=-1,0,CHOOSE(M34+1,词条!C2,词条!D2,词条!D2,词条!D2,词条!E2))</f>
        <v>40</v>
      </c>
      <c r="P36" s="102" t="s">
        <v>22</v>
      </c>
      <c r="Q36" s="100"/>
      <c r="R36" s="100"/>
      <c r="U36" s="100"/>
      <c r="V36" s="100"/>
      <c r="W36">
        <f>IF(W34=-1,0,INDEX(词条!C3:G3,W34+1))</f>
        <v>60</v>
      </c>
      <c r="X36">
        <f>IF(W34=-1,0,IF(W34&lt;=2,词条!C6,词条!D6))</f>
        <v>6</v>
      </c>
      <c r="Y36">
        <f>IF(W34=-1,0,CHOOSE(W34+1,词条!C2,词条!D2,词条!D2,词条!D2,词条!E2))</f>
        <v>40</v>
      </c>
      <c r="Z36" s="102" t="s">
        <v>22</v>
      </c>
      <c r="AA36" s="100"/>
      <c r="AB36" s="100"/>
      <c r="AE36" s="100"/>
      <c r="AF36" s="100"/>
      <c r="AG36">
        <f>IF(AG34=-1,0,INDEX(词条!I3:M3,AG34+1))</f>
        <v>45</v>
      </c>
      <c r="AH36">
        <f>IF(AG34=-1,0,IF(AG34&lt;=2,词条!I17,词条!J17))</f>
        <v>10</v>
      </c>
      <c r="AI36">
        <f>IF(AG34=-1,0,CHOOSE(AG34+1,词条!I2,词条!I2,词条!J2,词条!J2,词条!K2))</f>
        <v>30</v>
      </c>
      <c r="AJ36" s="105" t="s">
        <v>40</v>
      </c>
      <c r="AK36" s="100"/>
      <c r="AL36" s="100"/>
      <c r="AO36" s="100"/>
      <c r="AP36" s="100"/>
      <c r="AQ36">
        <f>IF(AQ34=-1,0,INDEX(词条!I3:M3,AQ34+1))</f>
        <v>45</v>
      </c>
      <c r="AR36">
        <f>IF(AQ34=-1,0,IF(AQ34&lt;=2,词条!I12,词条!J12))</f>
        <v>11</v>
      </c>
      <c r="AS36">
        <f>IF(AQ34=-1,0,CHOOSE(AQ34+1,词条!I2,词条!I2,词条!J2,词条!J2,词条!K2))</f>
        <v>30</v>
      </c>
      <c r="AT36" s="106" t="s">
        <v>54</v>
      </c>
      <c r="AU36" s="100"/>
      <c r="AV36" s="100"/>
      <c r="AW36" s="2">
        <f>AV34+AW33</f>
        <v>168</v>
      </c>
      <c r="AX36" s="1"/>
      <c r="AY36" s="100"/>
      <c r="AZ36" s="100"/>
      <c r="BA36">
        <f>IF(BA34=-1,0,INDEX(词条!I4:M4,BA34+1))</f>
        <v>6.4</v>
      </c>
      <c r="BB36">
        <f>IF(BA34=-1,0,IF(BA34&lt;=2,词条!I18,词条!J18))</f>
        <v>8</v>
      </c>
      <c r="BC36">
        <f>IF(BA34=-1,0,CHOOSE(BA34+1,词条!I2,词条!I2,词条!J2,词条!J2,词条!K2))</f>
        <v>30</v>
      </c>
      <c r="BD36" s="105" t="s">
        <v>40</v>
      </c>
      <c r="BE36" s="100"/>
      <c r="BF36" s="100"/>
      <c r="BG36" s="2">
        <f>BF34+BG33</f>
        <v>138</v>
      </c>
      <c r="BH36" s="1"/>
    </row>
    <row r="37" spans="1:60" ht="16"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spans="1:60" ht="16" customHeight="1" x14ac:dyDescent="0.3">
      <c r="A38" s="100" t="s">
        <v>63</v>
      </c>
      <c r="B38" s="100"/>
      <c r="C38" s="100"/>
      <c r="D38" s="100"/>
      <c r="E38" s="100"/>
      <c r="F38" s="100"/>
      <c r="G38" s="100"/>
      <c r="H38" s="1"/>
      <c r="K38" s="100" t="s">
        <v>64</v>
      </c>
      <c r="L38" s="100"/>
      <c r="M38" s="100"/>
      <c r="N38" s="100"/>
      <c r="O38" s="100"/>
      <c r="P38" s="100"/>
      <c r="Q38" s="100"/>
      <c r="U38" s="103" t="s">
        <v>65</v>
      </c>
      <c r="V38" s="100"/>
      <c r="W38" s="100"/>
      <c r="X38" s="100"/>
      <c r="Y38" s="100"/>
      <c r="Z38" s="100"/>
      <c r="AA38" s="100"/>
      <c r="AB38" s="1"/>
      <c r="AC38" s="1"/>
      <c r="AD38" s="1"/>
      <c r="AE38" s="99" t="s">
        <v>66</v>
      </c>
      <c r="AF38" s="100"/>
      <c r="AG38" s="100"/>
      <c r="AH38" s="100"/>
      <c r="AI38" s="100"/>
      <c r="AJ38" s="100"/>
      <c r="AK38" s="100"/>
      <c r="AM38" s="23" t="s">
        <v>5</v>
      </c>
      <c r="AN38" s="17" t="s">
        <v>67</v>
      </c>
      <c r="AO38" s="100" t="s">
        <v>68</v>
      </c>
      <c r="AP38" s="100"/>
      <c r="AQ38" s="100"/>
      <c r="AR38" s="100"/>
      <c r="AS38" s="100"/>
      <c r="AT38" s="100"/>
      <c r="AU38" s="100"/>
      <c r="AV38" s="1"/>
      <c r="AW38" s="1"/>
      <c r="AX38" s="1"/>
      <c r="AY38" s="99" t="s">
        <v>69</v>
      </c>
      <c r="AZ38" s="100"/>
      <c r="BA38" s="100"/>
      <c r="BB38" s="100"/>
      <c r="BC38" s="100"/>
      <c r="BD38" s="100"/>
      <c r="BE38" s="100"/>
      <c r="BF38" s="1"/>
      <c r="BG38" s="1"/>
      <c r="BH38" s="1"/>
    </row>
    <row r="39" spans="1:60" ht="63" customHeight="1" x14ac:dyDescent="0.3">
      <c r="A39" s="101"/>
      <c r="B39" s="100"/>
      <c r="C39" t="s">
        <v>7</v>
      </c>
      <c r="E39" t="s">
        <v>38</v>
      </c>
      <c r="F39" s="8" t="s">
        <v>9</v>
      </c>
      <c r="G39" s="5" t="s">
        <v>10</v>
      </c>
      <c r="H39" s="6" t="s">
        <v>11</v>
      </c>
      <c r="K39" s="101"/>
      <c r="L39" s="100"/>
      <c r="M39" t="s">
        <v>7</v>
      </c>
      <c r="O39" t="s">
        <v>39</v>
      </c>
      <c r="P39" s="8" t="s">
        <v>9</v>
      </c>
      <c r="Q39" s="5" t="s">
        <v>10</v>
      </c>
      <c r="R39" s="6" t="s">
        <v>11</v>
      </c>
      <c r="U39" s="101"/>
      <c r="V39" s="100"/>
      <c r="W39" t="s">
        <v>7</v>
      </c>
      <c r="Y39" t="s">
        <v>39</v>
      </c>
      <c r="Z39" s="8" t="s">
        <v>9</v>
      </c>
      <c r="AA39" s="5" t="s">
        <v>10</v>
      </c>
      <c r="AB39" s="6" t="s">
        <v>11</v>
      </c>
      <c r="AE39" s="100"/>
      <c r="AF39" s="100"/>
      <c r="AG39" t="s">
        <v>7</v>
      </c>
      <c r="AJ39" s="8" t="s">
        <v>9</v>
      </c>
      <c r="AK39" s="5" t="s">
        <v>10</v>
      </c>
      <c r="AL39" s="6" t="s">
        <v>11</v>
      </c>
      <c r="AM39" s="18">
        <f>AN39*6</f>
        <v>60</v>
      </c>
      <c r="AN39" s="17">
        <v>10</v>
      </c>
      <c r="AO39" s="101"/>
      <c r="AP39" s="100"/>
      <c r="AQ39" t="s">
        <v>7</v>
      </c>
      <c r="AS39" t="s">
        <v>36</v>
      </c>
      <c r="AT39" s="8" t="s">
        <v>9</v>
      </c>
      <c r="AU39" s="5" t="s">
        <v>10</v>
      </c>
      <c r="AV39" s="6" t="s">
        <v>11</v>
      </c>
      <c r="AW39" s="1"/>
      <c r="AX39" s="1"/>
      <c r="AY39" s="99"/>
      <c r="AZ39" s="100"/>
      <c r="BA39" t="s">
        <v>7</v>
      </c>
      <c r="BC39" t="s">
        <v>13</v>
      </c>
      <c r="BD39" s="8" t="s">
        <v>9</v>
      </c>
      <c r="BE39" s="9" t="s">
        <v>10</v>
      </c>
      <c r="BF39" s="6" t="s">
        <v>11</v>
      </c>
      <c r="BG39" s="1"/>
      <c r="BH39" s="1"/>
    </row>
    <row r="40" spans="1:60" ht="16" customHeight="1" x14ac:dyDescent="0.3">
      <c r="A40" s="100"/>
      <c r="B40" s="100"/>
      <c r="C40" s="7">
        <v>4</v>
      </c>
      <c r="E40">
        <f>IF(C40=-1,0,IF(C40&lt;=3,词条!C10,词条!D11))</f>
        <v>9</v>
      </c>
      <c r="F40" s="8">
        <f>IF(C40=-1,0,IF(路线!C6="计算",INT((C42/100)*路线!B11+D42*路线!B15+E40*路线!B29+E42+20),INT((C42/100)*路线!B11+D42*路线!B15+E40*路线!B29+E42)))</f>
        <v>222</v>
      </c>
      <c r="G40" s="5">
        <f>IF(C40=-1,0,IF(路线!C6="计算",INT((C42/100)*路线!B12+D42*路线!B18+E40*路线!B29+E42+20),INT((C42/100)*路线!B12+D42*路线!B18+E40*路线!B29+E42)))</f>
        <v>186</v>
      </c>
      <c r="H40" s="6">
        <f>IF(C40=-1,0,IF(路线!C6="计算",INT((C42/100)*路线!B13+D42*路线!B21+E40*路线!B29+E42+20),INT((C42/100)*路线!B13+D42*路线!B21+E40*路线!B29+E42)))</f>
        <v>99</v>
      </c>
      <c r="K40" s="100"/>
      <c r="L40" s="100"/>
      <c r="M40" s="7">
        <v>4</v>
      </c>
      <c r="O40">
        <f>IF(M40=-1,0,IF(M40&lt;=3,词条!C19,词条!D19))</f>
        <v>22</v>
      </c>
      <c r="P40" s="8">
        <f>IF(M40=-1,0,INT(M42+N42*路线!B15+O40+O42))</f>
        <v>190</v>
      </c>
      <c r="Q40" s="5">
        <f>IF(M40=-1,0,INT(M42+N42*路线!B18+O40+O42))</f>
        <v>173</v>
      </c>
      <c r="R40" s="6">
        <f>IF(M40=-1,0,INT(M42+N42*路线!B21+O40+O42))</f>
        <v>122</v>
      </c>
      <c r="U40" s="100"/>
      <c r="V40" s="100"/>
      <c r="W40" s="7">
        <v>4</v>
      </c>
      <c r="Y40">
        <f>IF(W40=-1,0,IF(W40&lt;=3,词条!F19,词条!G19))</f>
        <v>17</v>
      </c>
      <c r="Z40" s="8">
        <f>IF(W40=-1,0,IF(路线!C6="计算",INT(W42+X42*路线!B14+Y40+Y42+20),INT(W42+X42*路线!B14+Y40+Y42)))</f>
        <v>153</v>
      </c>
      <c r="AA40" s="5">
        <f>IF(W40=-1,0,IF(路线!C6="计算",INT(W42+X42*路线!B17+Y40+Y42+20),INT(W42+X42*路线!B17+Y40+Y42)))</f>
        <v>149</v>
      </c>
      <c r="AB40" s="6">
        <f>IF(W40=-1,0,IF(路线!C6="计算",INT(W42+X42*路线!B20+Y40+Y42+20),INT(W42+X42*路线!B20+Y40+Y42)))</f>
        <v>137</v>
      </c>
      <c r="AE40" s="100"/>
      <c r="AF40" s="100"/>
      <c r="AG40" s="7">
        <v>4</v>
      </c>
      <c r="AJ40" s="5">
        <f>IF(AG40=-1,0,INT(AG42+AH42*路线!B32+AI42))</f>
        <v>109</v>
      </c>
      <c r="AK40" s="5">
        <f>IF(AG40=-1,0,INT(AG42+AH42*路线!B32+AI42))</f>
        <v>109</v>
      </c>
      <c r="AL40" s="5">
        <f>IF(AG40=-1,0,INT(AG42+AH42*路线!B32+AI42))</f>
        <v>109</v>
      </c>
      <c r="AM40" s="2">
        <f>AJ40+AM39</f>
        <v>169</v>
      </c>
      <c r="AN40" s="1"/>
      <c r="AO40" s="100"/>
      <c r="AP40" s="100"/>
      <c r="AQ40" s="7">
        <v>4</v>
      </c>
      <c r="AS40">
        <f>IF(AQ40=-1,0,IF(AQ40&lt;=3,词条!I7,词条!J7))</f>
        <v>13</v>
      </c>
      <c r="AT40" s="5">
        <f>IF(AQ40=-1,0,INT(AQ42+AR42*路线!B31+AS40*路线!B15+AS42))</f>
        <v>127</v>
      </c>
      <c r="AU40" s="5">
        <f>IF(AQ40=-1,0,INT(AQ42+AR42*路线!B31+AS40*路线!B18+AS42))</f>
        <v>114</v>
      </c>
      <c r="AV40" s="9">
        <f>IF(AQ40=-1,0,INT(AQ42+AR42*路线!B31+AS40*路线!B21+AS42))</f>
        <v>75</v>
      </c>
      <c r="AW40" s="1"/>
      <c r="AX40" s="1"/>
      <c r="AY40" s="100"/>
      <c r="AZ40" s="100"/>
      <c r="BA40" s="7">
        <v>4</v>
      </c>
      <c r="BC40">
        <f>IF(BA40=-1,0,IF(BA40&lt;=3,词条!I6,词条!J6))</f>
        <v>4</v>
      </c>
      <c r="BD40" s="5">
        <f>IF(BA40=-1,0,IF(路线!C6="计算",INT(BA42+BB42*路线!B31+BC40*路线!B14+BC42+20),INT(BA42+BB42*路线!B31+BC40*路线!B14+BC42)))</f>
        <v>111</v>
      </c>
      <c r="BE40" s="5">
        <f>IF(BA40=-1,0,IF(路线!C6="计算",INT(BA42+BB42*路线!B31+BC40*路线!B17+BC42+20),INT(BA42+BB42*路线!B31+BC40*路线!B17+BC42)))</f>
        <v>107</v>
      </c>
      <c r="BF40" s="9">
        <f>IF(BA40=-1,0,IF(路线!C6="计算",INT(BA42+BB42*路线!B31+BC40*路线!B20+BC42+20),INT(BA42+BB42*路线!B31+BC40*路线!B20+BC42)))</f>
        <v>95</v>
      </c>
      <c r="BG40" s="1"/>
      <c r="BH40" s="1"/>
    </row>
    <row r="41" spans="1:60" ht="16" customHeight="1" x14ac:dyDescent="0.3">
      <c r="A41" s="100"/>
      <c r="B41" s="100"/>
      <c r="C41" t="s">
        <v>17</v>
      </c>
      <c r="D41" t="s">
        <v>36</v>
      </c>
      <c r="E41" t="s">
        <v>16</v>
      </c>
      <c r="F41" s="101"/>
      <c r="G41" s="100"/>
      <c r="H41" s="100"/>
      <c r="K41" s="100"/>
      <c r="L41" s="100"/>
      <c r="M41" t="s">
        <v>15</v>
      </c>
      <c r="N41" t="s">
        <v>36</v>
      </c>
      <c r="O41" t="s">
        <v>16</v>
      </c>
      <c r="P41" s="104" t="s">
        <v>37</v>
      </c>
      <c r="Q41" s="100"/>
      <c r="R41" s="100"/>
      <c r="U41" s="100"/>
      <c r="V41" s="100"/>
      <c r="W41" t="s">
        <v>15</v>
      </c>
      <c r="X41" t="s">
        <v>13</v>
      </c>
      <c r="Y41" t="s">
        <v>16</v>
      </c>
      <c r="Z41" s="104" t="s">
        <v>37</v>
      </c>
      <c r="AA41" s="100"/>
      <c r="AB41" s="100"/>
      <c r="AE41" s="100"/>
      <c r="AF41" s="100"/>
      <c r="AG41" t="s">
        <v>15</v>
      </c>
      <c r="AH41" t="s">
        <v>21</v>
      </c>
      <c r="AI41" t="s">
        <v>16</v>
      </c>
      <c r="AJ41" s="101"/>
      <c r="AK41" s="100"/>
      <c r="AL41" s="100"/>
      <c r="AM41" s="2">
        <f>AK40+AM39</f>
        <v>169</v>
      </c>
      <c r="AN41" s="1"/>
      <c r="AO41" s="100"/>
      <c r="AP41" s="100"/>
      <c r="AQ41" t="s">
        <v>15</v>
      </c>
      <c r="AR41" t="s">
        <v>19</v>
      </c>
      <c r="AS41" t="s">
        <v>16</v>
      </c>
      <c r="AT41" s="104" t="s">
        <v>37</v>
      </c>
      <c r="AU41" s="100"/>
      <c r="AV41" s="100"/>
      <c r="AW41" s="1"/>
      <c r="AX41" s="1"/>
      <c r="AY41" s="100"/>
      <c r="AZ41" s="100"/>
      <c r="BA41" t="s">
        <v>15</v>
      </c>
      <c r="BB41" t="s">
        <v>19</v>
      </c>
      <c r="BC41" t="s">
        <v>16</v>
      </c>
      <c r="BD41" s="101"/>
      <c r="BE41" s="100"/>
      <c r="BF41" s="100"/>
      <c r="BG41" s="1"/>
      <c r="BH41" s="1"/>
    </row>
    <row r="42" spans="1:60" ht="16" customHeight="1" x14ac:dyDescent="0.3">
      <c r="A42" s="100"/>
      <c r="B42" s="100"/>
      <c r="C42">
        <f>IF(C40=-1,0,INDEX(词条!C4:G4,C40+1))</f>
        <v>8.5</v>
      </c>
      <c r="D42">
        <f>IF(C40=-1,0,IF(C40&lt;=2,词条!C7,词条!D7))</f>
        <v>17</v>
      </c>
      <c r="E42">
        <f>IF(C40=-1,0,CHOOSE(C40+1,词条!C2,词条!D2,词条!D2,词条!D2,词条!E2))</f>
        <v>40</v>
      </c>
      <c r="F42" s="102" t="s">
        <v>22</v>
      </c>
      <c r="G42" s="100"/>
      <c r="H42" s="100"/>
      <c r="K42" s="100"/>
      <c r="L42" s="100"/>
      <c r="M42">
        <f>IF(M40=-1,0,INDEX(词条!C3:G3,M40+1))</f>
        <v>60</v>
      </c>
      <c r="N42">
        <f>IF(M40=-1,0,IF(M40&lt;=2,词条!C7,词条!D7))</f>
        <v>17</v>
      </c>
      <c r="O42">
        <f>IF(M40=-1,0,CHOOSE(M40+1,词条!C2,词条!D2,词条!D2,词条!D2,词条!E2))</f>
        <v>40</v>
      </c>
      <c r="P42" s="105" t="s">
        <v>40</v>
      </c>
      <c r="Q42" s="100"/>
      <c r="R42" s="100"/>
      <c r="U42" s="100"/>
      <c r="V42" s="100"/>
      <c r="W42">
        <f>IF(W40=-1,0,INDEX(词条!C3:G3,W40+1))</f>
        <v>60</v>
      </c>
      <c r="X42">
        <f>IF(W40=-1,0,IF(W40&lt;=3,词条!F6,词条!G6))</f>
        <v>4</v>
      </c>
      <c r="Y42">
        <f>IF(W40=-1,0,CHOOSE(W40+1,词条!C2,词条!D2,词条!D2,词条!D2,词条!E2))</f>
        <v>40</v>
      </c>
      <c r="Z42" s="102" t="s">
        <v>22</v>
      </c>
      <c r="AA42" s="100"/>
      <c r="AB42" s="100"/>
      <c r="AE42" s="100"/>
      <c r="AF42" s="100"/>
      <c r="AG42">
        <f>IF(AG40=-1,0,INDEX(词条!I3:M3,AG40+1))</f>
        <v>45</v>
      </c>
      <c r="AH42">
        <f>IF(AG40=-1,0,IF(AG40&lt;=2,词条!I5,词条!J5))</f>
        <v>17</v>
      </c>
      <c r="AI42">
        <f>IF(AG40=-1,0,CHOOSE(AG40+1,词条!I2,词条!I2,词条!J2,词条!J2,词条!K2))</f>
        <v>30</v>
      </c>
      <c r="AJ42" s="105" t="s">
        <v>40</v>
      </c>
      <c r="AK42" s="100"/>
      <c r="AL42" s="100"/>
      <c r="AM42" s="2">
        <f>AL40+AM39</f>
        <v>169</v>
      </c>
      <c r="AN42" s="1"/>
      <c r="AO42" s="100"/>
      <c r="AP42" s="100"/>
      <c r="AQ42">
        <f>IF(AQ40=-1,0,INDEX(词条!I3:M3,AQ40+1))</f>
        <v>45</v>
      </c>
      <c r="AR42">
        <f>IF(AQ40=-1,0,IF(AQ40&lt;=2,词条!I17,词条!J17))</f>
        <v>10</v>
      </c>
      <c r="AS42">
        <f>IF(AQ40=-1,0,CHOOSE(AQ40+1,词条!I2,词条!I2,词条!J2,词条!J2,词条!K2))</f>
        <v>30</v>
      </c>
      <c r="AT42" s="102" t="s">
        <v>22</v>
      </c>
      <c r="AU42" s="100"/>
      <c r="AV42" s="100"/>
      <c r="AW42" s="1"/>
      <c r="AX42" s="1"/>
      <c r="AY42" s="100"/>
      <c r="AZ42" s="100"/>
      <c r="BA42">
        <f>IF(BA40=-1,0,INDEX(词条!I3:M3,BA40+1))</f>
        <v>45</v>
      </c>
      <c r="BB42">
        <f>IF(BA40=-1,0,IF(BA40&lt;=2,词条!I17,词条!J17))</f>
        <v>10</v>
      </c>
      <c r="BC42">
        <f>IF(BA40=-1,0,CHOOSE(BA40+1,词条!I2,词条!I2,词条!J2,词条!J2,词条!K2))</f>
        <v>30</v>
      </c>
      <c r="BD42" s="106" t="s">
        <v>54</v>
      </c>
      <c r="BE42" s="100"/>
      <c r="BF42" s="100"/>
      <c r="BG42" s="1"/>
      <c r="BH42" s="1"/>
    </row>
    <row r="43" spans="1:60" ht="16"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spans="1:60" ht="16" customHeight="1" x14ac:dyDescent="0.3">
      <c r="A44" s="103" t="s">
        <v>70</v>
      </c>
      <c r="B44" s="100"/>
      <c r="C44" s="100"/>
      <c r="D44" s="100"/>
      <c r="E44" s="100"/>
      <c r="F44" s="100"/>
      <c r="G44" s="100"/>
      <c r="H44" s="1"/>
      <c r="K44" s="103" t="s">
        <v>71</v>
      </c>
      <c r="L44" s="100"/>
      <c r="M44" s="100"/>
      <c r="N44" s="100"/>
      <c r="O44" s="100"/>
      <c r="P44" s="100"/>
      <c r="Q44" s="100"/>
      <c r="U44" s="100" t="s">
        <v>72</v>
      </c>
      <c r="V44" s="100"/>
      <c r="W44" s="100"/>
      <c r="X44" s="100"/>
      <c r="Y44" s="100"/>
      <c r="Z44" s="100"/>
      <c r="AA44" s="100"/>
      <c r="AB44" s="1"/>
      <c r="AC44" s="1"/>
      <c r="AD44" s="1"/>
      <c r="AE44" s="99" t="s">
        <v>73</v>
      </c>
      <c r="AF44" s="100"/>
      <c r="AG44" s="100"/>
      <c r="AH44" s="100"/>
      <c r="AI44" s="100"/>
      <c r="AJ44" s="100"/>
      <c r="AK44" s="100"/>
      <c r="AL44" s="1"/>
      <c r="AM44" s="2" t="s">
        <v>5</v>
      </c>
      <c r="AN44" s="17" t="s">
        <v>74</v>
      </c>
      <c r="AO44" s="99" t="s">
        <v>75</v>
      </c>
      <c r="AP44" s="100"/>
      <c r="AQ44" s="100"/>
      <c r="AR44" s="100"/>
      <c r="AS44" s="100"/>
      <c r="AT44" s="100"/>
      <c r="AU44" s="100"/>
      <c r="AV44" s="1"/>
      <c r="AW44" s="1"/>
      <c r="AX44" s="1"/>
      <c r="AY44" s="99" t="s">
        <v>76</v>
      </c>
      <c r="AZ44" s="100"/>
      <c r="BA44" s="100"/>
      <c r="BB44" s="100"/>
      <c r="BC44" s="100"/>
      <c r="BD44" s="100"/>
      <c r="BE44" s="100"/>
      <c r="BF44" s="1"/>
      <c r="BG44" s="1"/>
      <c r="BH44" s="1"/>
    </row>
    <row r="45" spans="1:60" ht="63" customHeight="1" x14ac:dyDescent="0.3">
      <c r="A45" s="101"/>
      <c r="B45" s="100"/>
      <c r="C45" t="s">
        <v>7</v>
      </c>
      <c r="E45" t="s">
        <v>47</v>
      </c>
      <c r="F45" s="8" t="s">
        <v>9</v>
      </c>
      <c r="G45" s="5" t="s">
        <v>10</v>
      </c>
      <c r="H45" s="6" t="s">
        <v>11</v>
      </c>
      <c r="K45" s="101"/>
      <c r="L45" s="100"/>
      <c r="M45" t="s">
        <v>7</v>
      </c>
      <c r="N45" t="s">
        <v>38</v>
      </c>
      <c r="O45" t="s">
        <v>8</v>
      </c>
      <c r="P45" s="8" t="s">
        <v>9</v>
      </c>
      <c r="Q45" s="5" t="s">
        <v>10</v>
      </c>
      <c r="R45" s="6" t="s">
        <v>11</v>
      </c>
      <c r="U45" s="101"/>
      <c r="V45" s="100"/>
      <c r="W45" t="s">
        <v>7</v>
      </c>
      <c r="Y45" t="s">
        <v>18</v>
      </c>
      <c r="Z45" s="8" t="s">
        <v>9</v>
      </c>
      <c r="AA45" s="5" t="s">
        <v>10</v>
      </c>
      <c r="AB45" s="6" t="s">
        <v>11</v>
      </c>
      <c r="AE45" s="100"/>
      <c r="AF45" s="100"/>
      <c r="AG45" t="s">
        <v>7</v>
      </c>
      <c r="AI45" t="s">
        <v>13</v>
      </c>
      <c r="AJ45" s="8" t="s">
        <v>9</v>
      </c>
      <c r="AK45" s="5" t="s">
        <v>10</v>
      </c>
      <c r="AL45" s="6" t="s">
        <v>11</v>
      </c>
      <c r="AM45" s="16">
        <f>AN45*6</f>
        <v>60</v>
      </c>
      <c r="AN45" s="17">
        <v>10</v>
      </c>
      <c r="AO45" s="99"/>
      <c r="AP45" s="100"/>
      <c r="AQ45" t="s">
        <v>7</v>
      </c>
      <c r="AS45" t="s">
        <v>13</v>
      </c>
      <c r="AT45" s="8" t="s">
        <v>9</v>
      </c>
      <c r="AU45" s="5" t="s">
        <v>10</v>
      </c>
      <c r="AV45" s="6" t="s">
        <v>11</v>
      </c>
      <c r="AW45" s="1"/>
      <c r="AX45" s="1"/>
      <c r="AY45" s="99"/>
      <c r="AZ45" s="100"/>
      <c r="BA45" t="s">
        <v>7</v>
      </c>
      <c r="BB45" t="s">
        <v>19</v>
      </c>
      <c r="BC45" t="s">
        <v>36</v>
      </c>
      <c r="BD45" s="8" t="s">
        <v>9</v>
      </c>
      <c r="BE45" s="9" t="s">
        <v>10</v>
      </c>
      <c r="BF45" s="6" t="s">
        <v>11</v>
      </c>
      <c r="BG45" s="1"/>
      <c r="BH45" s="1"/>
    </row>
    <row r="46" spans="1:60" ht="16" customHeight="1" x14ac:dyDescent="0.3">
      <c r="A46" s="100"/>
      <c r="B46" s="100"/>
      <c r="C46" s="7">
        <v>4</v>
      </c>
      <c r="E46">
        <f>IF(C46=-1,0,IF(C46&lt;=3,词条!C12,词条!D12))</f>
        <v>17</v>
      </c>
      <c r="F46" s="8">
        <f>IF(C46=-1,0,IF(路线!C6="计算",INT((C48/100)*路线!B11+D48*路线!B15+E46*路线!B34+E48+20),INT((C48/100)*路线!B11+D48*路线!B15+E46*路线!B34+E48)))</f>
        <v>255</v>
      </c>
      <c r="G46" s="5">
        <f>IF(C46=-1,0,IF(路线!C6="计算",INT((C48/100)*路线!B12+D48*路线!B18+E46*路线!B34+E48+20),INT((C48/100)*路线!B12+D48*路线!B18+E46*路线!B34+E48)))</f>
        <v>219</v>
      </c>
      <c r="H46" s="6">
        <f>IF(C46=-1,0,IF(路线!C6="计算",INT((C48/100)*路线!B13+D48*路线!B21+E46*路线!B34+E48+20),INT((C48/100)*路线!B13+D48*路线!B21+E46*路线!B34+E48)))</f>
        <v>132</v>
      </c>
      <c r="K46" s="100"/>
      <c r="L46" s="100"/>
      <c r="M46" s="7">
        <v>4</v>
      </c>
      <c r="N46">
        <f>IF(M46=-1,0,IF(M46&lt;=1,词条!C10,词条!D11))</f>
        <v>9</v>
      </c>
      <c r="O46">
        <f>IF(M46=-1,0,IF(M46&lt;=3,词条!C16,词条!D16))</f>
        <v>7</v>
      </c>
      <c r="P46" s="8">
        <f>IF(M46=-1,0,INT((M48/100)*路线!B11+N46*路线!B29+N48*路线!B15+O46*路线!B30+O48))</f>
        <v>251</v>
      </c>
      <c r="Q46" s="5">
        <f>IF(M46=-1,0,INT((M48/100)*路线!B12+N46*路线!B29+N48*路线!B18+O46*路线!B30+O48))</f>
        <v>215</v>
      </c>
      <c r="R46" s="6">
        <f>IF(M46=-1,0,INT((M48/100)*路线!B13+N46*路线!B29+N48*路线!B21+O46*路线!B30+O48))</f>
        <v>128</v>
      </c>
      <c r="U46" s="100"/>
      <c r="V46" s="100"/>
      <c r="W46" s="7">
        <v>4</v>
      </c>
      <c r="Y46">
        <f>IF(W46=-1,0,IF(W46&lt;=3,词条!C13,词条!D13))</f>
        <v>3</v>
      </c>
      <c r="Z46" s="8">
        <f>IF(W46=-1,0,IF(路线!C6="计算",INT(W48+X48*路线!B14+Y46*路线!B24+Y48+20),INT(W48+X48*路线!B14+Y46*路线!B24+Y48)))</f>
        <v>180</v>
      </c>
      <c r="AA46" s="5">
        <f>IF(W46=-1,0,IF(路线!C6="计算",INT(W48+X48*路线!B17+Y46*路线!B24+Y48+20),INT(W48+X48*路线!B17+Y46*路线!B24+Y48)))</f>
        <v>174</v>
      </c>
      <c r="AB46" s="6">
        <f>IF(W46=-1,0,IF(路线!C6="计算",INT(W48+X48*路线!B20+Y46*路线!B24+Y48+20),INT(W48+X48*路线!B20+Y46*路线!B24+Y48)))</f>
        <v>156</v>
      </c>
      <c r="AE46" s="100"/>
      <c r="AF46" s="100"/>
      <c r="AG46" s="7">
        <v>4</v>
      </c>
      <c r="AI46">
        <f>IF(AG46=-1,0,IF(AG46&lt;=3,词条!I6,词条!J6))</f>
        <v>4</v>
      </c>
      <c r="AJ46" s="5">
        <f>IF(AG46=-1,0,INT((AG48/100)*路线!B11+AH48*路线!B33+AI46*路线!B14+AI48))</f>
        <v>135</v>
      </c>
      <c r="AK46" s="5">
        <f>IF(AG46=-1,0,INT((AG48/100)*路线!B12+AH48*路线!B33+AI46*路线!B17+AI48))</f>
        <v>117</v>
      </c>
      <c r="AL46" s="5">
        <f>IF(AG46=-1,0,INT((AG48/100)*路线!B13+AH48*路线!B33+AI46*路线!B20+AI48))</f>
        <v>78</v>
      </c>
      <c r="AM46" s="2">
        <f>AJ46+AM45</f>
        <v>195</v>
      </c>
      <c r="AN46" s="1"/>
      <c r="AO46" s="100"/>
      <c r="AP46" s="100"/>
      <c r="AQ46" s="7">
        <v>4</v>
      </c>
      <c r="AS46">
        <f>IF(AQ46=-1,0,IF(AQ46&lt;=3,词条!I6,词条!J6))</f>
        <v>4</v>
      </c>
      <c r="AT46" s="5">
        <f>IF(AQ46=-1,0,INT(AQ48+AR48*路线!B39+AS46*路线!B14+AS48))</f>
        <v>107</v>
      </c>
      <c r="AU46" s="5">
        <f>IF(AQ46=-1,0,INT(AQ48+AR48*路线!B39+AS46*路线!B17+AS48))</f>
        <v>103</v>
      </c>
      <c r="AV46" s="9">
        <f>IF(AQ46=-1,0,INT(AQ48+AR48*路线!B39+AS46*路线!B20+AS48))</f>
        <v>91</v>
      </c>
      <c r="AW46" s="1"/>
      <c r="AX46" s="1"/>
      <c r="AY46" s="100"/>
      <c r="AZ46" s="100"/>
      <c r="BA46" s="7">
        <v>4</v>
      </c>
      <c r="BB46">
        <f>IF(BA46=-1,0,IF(BA46=0,词条!I17,词条!J17))</f>
        <v>10</v>
      </c>
      <c r="BC46">
        <f>IF(BA46=-1,0,IF(BA46&lt;=3,词条!I7,词条!J7))</f>
        <v>13</v>
      </c>
      <c r="BD46" s="5">
        <f>IF(BA46=-1,0,INT(BA48+BB46*路线!B31+BB48*路线!B34+BC46*路线!B15+BC48))</f>
        <v>160</v>
      </c>
      <c r="BE46" s="5">
        <f>IF(BA46=-1,0,INT(BA48+BB46*路线!B31+BB48*路线!B34+BC46*路线!B18+BC48))</f>
        <v>147</v>
      </c>
      <c r="BF46" s="9">
        <f>IF(BA46=-1,0,INT(BA48+BB46*路线!B31+BB48*路线!B34+BC46*路线!B21+BC48))</f>
        <v>108</v>
      </c>
      <c r="BG46" s="1"/>
      <c r="BH46" s="1"/>
    </row>
    <row r="47" spans="1:60" ht="16" customHeight="1" x14ac:dyDescent="0.3">
      <c r="A47" s="100"/>
      <c r="B47" s="100"/>
      <c r="C47" t="s">
        <v>17</v>
      </c>
      <c r="D47" t="s">
        <v>36</v>
      </c>
      <c r="E47" t="s">
        <v>16</v>
      </c>
      <c r="F47" s="101"/>
      <c r="G47" s="100"/>
      <c r="H47" s="100"/>
      <c r="K47" s="100"/>
      <c r="L47" s="100"/>
      <c r="M47" t="s">
        <v>17</v>
      </c>
      <c r="N47" t="s">
        <v>36</v>
      </c>
      <c r="O47" t="s">
        <v>16</v>
      </c>
      <c r="P47" s="101"/>
      <c r="Q47" s="100"/>
      <c r="R47" s="100"/>
      <c r="U47" s="100"/>
      <c r="V47" s="100"/>
      <c r="W47" t="s">
        <v>15</v>
      </c>
      <c r="X47" t="s">
        <v>13</v>
      </c>
      <c r="Y47" t="s">
        <v>16</v>
      </c>
      <c r="Z47" s="104" t="s">
        <v>37</v>
      </c>
      <c r="AA47" s="100"/>
      <c r="AB47" s="100"/>
      <c r="AE47" s="100"/>
      <c r="AF47" s="100"/>
      <c r="AG47" t="s">
        <v>17</v>
      </c>
      <c r="AH47" t="s">
        <v>20</v>
      </c>
      <c r="AI47" t="s">
        <v>16</v>
      </c>
      <c r="AJ47" s="101"/>
      <c r="AK47" s="100"/>
      <c r="AL47" s="100"/>
      <c r="AM47" s="2">
        <f>AK46+AM45</f>
        <v>177</v>
      </c>
      <c r="AN47" s="1"/>
      <c r="AO47" s="100"/>
      <c r="AP47" s="100"/>
      <c r="AQ47" t="s">
        <v>15</v>
      </c>
      <c r="AR47" t="s">
        <v>77</v>
      </c>
      <c r="AS47" t="s">
        <v>16</v>
      </c>
      <c r="AT47" s="101"/>
      <c r="AU47" s="100"/>
      <c r="AV47" s="100"/>
      <c r="AW47" s="1"/>
      <c r="AX47" s="1"/>
      <c r="AY47" s="100"/>
      <c r="AZ47" s="100"/>
      <c r="BA47" t="s">
        <v>15</v>
      </c>
      <c r="BB47" t="s">
        <v>47</v>
      </c>
      <c r="BC47" t="s">
        <v>16</v>
      </c>
      <c r="BD47" s="101"/>
      <c r="BE47" s="100"/>
      <c r="BF47" s="100"/>
      <c r="BG47" s="1"/>
      <c r="BH47" s="1"/>
    </row>
    <row r="48" spans="1:60" ht="16" customHeight="1" x14ac:dyDescent="0.3">
      <c r="A48" s="100"/>
      <c r="B48" s="100"/>
      <c r="C48">
        <f>IF(C46=-1,0,INDEX(词条!C4:G4,C46+1))</f>
        <v>8.5</v>
      </c>
      <c r="D48">
        <f>IF(C46=-1,0,IF(C46&lt;=2,词条!C7,词条!D7))</f>
        <v>17</v>
      </c>
      <c r="E48">
        <f>IF(C46=-1,0,CHOOSE(C46+1,词条!C2,词条!D2,词条!D2,词条!D2,词条!E2))</f>
        <v>40</v>
      </c>
      <c r="F48" s="106" t="s">
        <v>54</v>
      </c>
      <c r="G48" s="100"/>
      <c r="H48" s="100"/>
      <c r="K48" s="100"/>
      <c r="L48" s="100"/>
      <c r="M48">
        <f>IF(M46=-1,0,INDEX(词条!C4:G4,M46+1))</f>
        <v>8.5</v>
      </c>
      <c r="N48">
        <f>IF(M46=-1,0,IF(M46&lt;=2,词条!C7,词条!D7))</f>
        <v>17</v>
      </c>
      <c r="O48">
        <f>IF(M46=-1,0,CHOOSE(M46+1,词条!C2,词条!D2,词条!D2,词条!D2,词条!E2))</f>
        <v>40</v>
      </c>
      <c r="P48" s="105" t="s">
        <v>40</v>
      </c>
      <c r="Q48" s="100"/>
      <c r="R48" s="100"/>
      <c r="U48" s="100"/>
      <c r="V48" s="100"/>
      <c r="W48">
        <f>IF(W46=-1,0,INDEX(词条!C3:G3,W46+1))</f>
        <v>60</v>
      </c>
      <c r="X48">
        <f>IF(W46=-1,0,IF(W46&lt;=2,词条!C6,词条!D6))</f>
        <v>6</v>
      </c>
      <c r="Y48">
        <f>IF(W46=-1,0,CHOOSE(W46+1,词条!C2,词条!D2,词条!D2,词条!D2,词条!E2))</f>
        <v>40</v>
      </c>
      <c r="Z48" s="105" t="s">
        <v>40</v>
      </c>
      <c r="AA48" s="100"/>
      <c r="AB48" s="100"/>
      <c r="AE48" s="100"/>
      <c r="AF48" s="100"/>
      <c r="AG48">
        <f>IF(AG46=-1,0,INDEX(词条!I4:M4,AG46+1))</f>
        <v>6.4</v>
      </c>
      <c r="AH48">
        <f>IF(AG46=-1,0,IF(AG46&lt;=2,词条!I18,词条!J18))</f>
        <v>8</v>
      </c>
      <c r="AI48">
        <f>IF(AG46=-1,0,CHOOSE(AG46+1,词条!I2,词条!I2,词条!J2,词条!J2,词条!K2))</f>
        <v>30</v>
      </c>
      <c r="AJ48" s="106" t="s">
        <v>54</v>
      </c>
      <c r="AK48" s="100"/>
      <c r="AL48" s="100"/>
      <c r="AM48" s="2">
        <f>AL46+AM45</f>
        <v>138</v>
      </c>
      <c r="AN48" s="1"/>
      <c r="AO48" s="100"/>
      <c r="AP48" s="100"/>
      <c r="AQ48">
        <f>IF(AQ46=-1,0,INDEX(词条!I3:M3,AQ46+1))</f>
        <v>45</v>
      </c>
      <c r="AR48">
        <f>IF(AQ46=-1,0,IF(AQ46&lt;=2,词条!I20,词条!J20))</f>
        <v>8</v>
      </c>
      <c r="AS48">
        <f>IF(AQ46=-1,0,CHOOSE(AQ46+1,词条!I2,词条!I2,词条!J2,词条!J2,词条!K2))</f>
        <v>30</v>
      </c>
      <c r="AT48" s="106" t="s">
        <v>54</v>
      </c>
      <c r="AU48" s="100"/>
      <c r="AV48" s="100"/>
      <c r="AW48" s="1"/>
      <c r="AX48" s="1"/>
      <c r="AY48" s="100"/>
      <c r="AZ48" s="100"/>
      <c r="BA48">
        <f>IF(BA46=-1,0,INDEX(词条!I3:M3,BA46+1))</f>
        <v>45</v>
      </c>
      <c r="BB48">
        <f>IF(BA46=-1,0,IF(BA46&lt;=2,词条!I12,词条!J12))</f>
        <v>11</v>
      </c>
      <c r="BC48">
        <f>IF(BA46=-1,0,CHOOSE(BA46+1,词条!I2,词条!I2,词条!J2,词条!J2,词条!K2))</f>
        <v>30</v>
      </c>
      <c r="BD48" s="105" t="s">
        <v>40</v>
      </c>
      <c r="BE48" s="100"/>
      <c r="BF48" s="100"/>
      <c r="BG48" s="1"/>
      <c r="BH48" s="1"/>
    </row>
    <row r="49" spans="1:60" ht="16"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spans="1:60" ht="16" customHeight="1" x14ac:dyDescent="0.3">
      <c r="A50" s="103" t="s">
        <v>78</v>
      </c>
      <c r="B50" s="100"/>
      <c r="C50" s="100"/>
      <c r="D50" s="100"/>
      <c r="E50" s="100"/>
      <c r="F50" s="100"/>
      <c r="G50" s="100"/>
      <c r="H50" s="1"/>
      <c r="K50" s="100" t="s">
        <v>79</v>
      </c>
      <c r="L50" s="100"/>
      <c r="M50" s="100"/>
      <c r="N50" s="100"/>
      <c r="O50" s="100"/>
      <c r="P50" s="100"/>
      <c r="Q50" s="100"/>
      <c r="U50" s="100" t="s">
        <v>80</v>
      </c>
      <c r="V50" s="100"/>
      <c r="W50" s="100"/>
      <c r="X50" s="100"/>
      <c r="Y50" s="100"/>
      <c r="Z50" s="100"/>
      <c r="AA50" s="100"/>
      <c r="AB50" s="1"/>
      <c r="AC50" s="1"/>
      <c r="AD50" s="1"/>
      <c r="AE50" s="99" t="s">
        <v>81</v>
      </c>
      <c r="AF50" s="100"/>
      <c r="AG50" s="100"/>
      <c r="AH50" s="100"/>
      <c r="AI50" s="100"/>
      <c r="AJ50" s="100"/>
      <c r="AK50" s="100"/>
      <c r="AL50" s="1"/>
      <c r="AM50" s="1"/>
      <c r="AN50" s="1"/>
      <c r="AO50" s="99" t="s">
        <v>82</v>
      </c>
      <c r="AP50" s="100"/>
      <c r="AQ50" s="100"/>
      <c r="AR50" s="100"/>
      <c r="AS50" s="100"/>
      <c r="AT50" s="100"/>
      <c r="AU50" s="100"/>
      <c r="AV50" s="1"/>
      <c r="AW50" s="1"/>
      <c r="AX50" s="1"/>
      <c r="AY50" s="99" t="s">
        <v>83</v>
      </c>
      <c r="AZ50" s="100"/>
      <c r="BA50" s="100"/>
      <c r="BB50" s="100"/>
      <c r="BC50" s="100"/>
      <c r="BD50" s="100"/>
      <c r="BE50" s="100"/>
      <c r="BF50" s="1"/>
      <c r="BG50" s="1"/>
      <c r="BH50" s="1"/>
    </row>
    <row r="51" spans="1:60" ht="63" customHeight="1" x14ac:dyDescent="0.3">
      <c r="A51" s="101"/>
      <c r="B51" s="100"/>
      <c r="C51" t="s">
        <v>7</v>
      </c>
      <c r="E51" t="s">
        <v>77</v>
      </c>
      <c r="F51" s="8" t="s">
        <v>9</v>
      </c>
      <c r="G51" s="5" t="s">
        <v>10</v>
      </c>
      <c r="H51" s="6" t="s">
        <v>11</v>
      </c>
      <c r="K51" s="101"/>
      <c r="L51" s="100"/>
      <c r="M51" t="s">
        <v>7</v>
      </c>
      <c r="O51" t="s">
        <v>12</v>
      </c>
      <c r="P51" s="8" t="s">
        <v>9</v>
      </c>
      <c r="Q51" s="5" t="s">
        <v>10</v>
      </c>
      <c r="R51" s="6" t="s">
        <v>11</v>
      </c>
      <c r="U51" s="101"/>
      <c r="V51" s="100"/>
      <c r="W51" t="s">
        <v>7</v>
      </c>
      <c r="X51" t="s">
        <v>12</v>
      </c>
      <c r="Y51" t="s">
        <v>20</v>
      </c>
      <c r="Z51" s="8" t="s">
        <v>9</v>
      </c>
      <c r="AA51" s="5" t="s">
        <v>10</v>
      </c>
      <c r="AB51" s="6" t="s">
        <v>11</v>
      </c>
      <c r="AE51" s="100"/>
      <c r="AF51" s="100"/>
      <c r="AG51" t="s">
        <v>7</v>
      </c>
      <c r="AI51" t="s">
        <v>13</v>
      </c>
      <c r="AJ51" s="8" t="s">
        <v>9</v>
      </c>
      <c r="AK51" s="5" t="s">
        <v>10</v>
      </c>
      <c r="AL51" s="6" t="s">
        <v>11</v>
      </c>
      <c r="AN51" s="1"/>
      <c r="AO51" s="99"/>
      <c r="AP51" s="100"/>
      <c r="AQ51" t="s">
        <v>7</v>
      </c>
      <c r="AR51" t="s">
        <v>84</v>
      </c>
      <c r="AS51" t="s">
        <v>36</v>
      </c>
      <c r="AT51" s="8" t="s">
        <v>9</v>
      </c>
      <c r="AU51" s="5" t="s">
        <v>10</v>
      </c>
      <c r="AV51" s="6" t="s">
        <v>11</v>
      </c>
      <c r="AW51" s="1"/>
      <c r="AX51" s="1"/>
      <c r="AY51" s="99"/>
      <c r="AZ51" s="100"/>
      <c r="BA51" t="s">
        <v>7</v>
      </c>
      <c r="BC51" t="s">
        <v>36</v>
      </c>
      <c r="BD51" s="8" t="s">
        <v>9</v>
      </c>
      <c r="BE51" s="9" t="s">
        <v>10</v>
      </c>
      <c r="BF51" s="6" t="s">
        <v>11</v>
      </c>
      <c r="BG51" s="1"/>
      <c r="BH51" s="1"/>
    </row>
    <row r="52" spans="1:60" ht="16" customHeight="1" x14ac:dyDescent="0.3">
      <c r="A52" s="100"/>
      <c r="B52" s="100"/>
      <c r="C52" s="7">
        <v>4</v>
      </c>
      <c r="E52">
        <f>IF(C52=-1,0,IF(C52&lt;=3,词条!C20,词条!D20))</f>
        <v>11</v>
      </c>
      <c r="F52" s="8">
        <f>IF(C52=-1,0,INT((C54/100)*路线!B11+D54*路线!B15+E52*路线!B39+E54))</f>
        <v>206</v>
      </c>
      <c r="G52" s="5">
        <f>IF(C52=-1,0,INT((C54/100)*路线!B12+D54*路线!B18+E52*路线!B39+E54))</f>
        <v>170</v>
      </c>
      <c r="H52" s="6">
        <f>IF(C52=-1,0,INT((C54/100)*路线!B13+D54*路线!B21+E52*路线!B39+E54))</f>
        <v>83</v>
      </c>
      <c r="K52" s="100"/>
      <c r="L52" s="100"/>
      <c r="M52" s="7">
        <v>4</v>
      </c>
      <c r="O52">
        <f>IF(M52=-1,0,IF(M52&lt;=3,词条!C14,词条!D14))</f>
        <v>3</v>
      </c>
      <c r="P52" s="8">
        <f>IF(M52=-1,0,INT(M54+N54*路线!B15+O52*路线!B23+O54))</f>
        <v>198</v>
      </c>
      <c r="Q52" s="5">
        <f>IF(M52=-1,0,INT(M54+N54*路线!B18+O52*路线!B23+O54))</f>
        <v>181</v>
      </c>
      <c r="R52" s="6">
        <f>IF(M52=-1,0,INT(M54+N54*路线!B21+O52*路线!B23+O54))</f>
        <v>130</v>
      </c>
      <c r="U52" s="100"/>
      <c r="V52" s="100"/>
      <c r="W52" s="7">
        <v>4</v>
      </c>
      <c r="X52">
        <f>IF(W52=-1,0,IF(W52&lt;=1,词条!C14,词条!D14))</f>
        <v>3</v>
      </c>
      <c r="Y52">
        <f>IF(W52=-1,0,IF(W52&lt;=3,词条!C18,词条!D18))</f>
        <v>11</v>
      </c>
      <c r="Z52" s="8">
        <f>IF(W52=-1,0,IF(路线!C6="计算",INT((W54/100)*路线!B11+X52*路线!B23+X54*路线!B15+Y52*路线!B33+Y54+20),INT((W54/100)*路线!B11+X52*路线!B23+X54*路线!B15+Y52*路线!B33+Y54)))</f>
        <v>278</v>
      </c>
      <c r="AA52" s="5">
        <f>IF(W52=-1,0,IF(路线!C6="计算",INT((W54/100)*路线!B12+X52*路线!B23+X54*路线!B18+Y52*路线!B33+Y54+20),INT((W54/100)*路线!B12+X52*路线!B23+X54*路线!B18+Y52*路线!B33+Y54)))</f>
        <v>242</v>
      </c>
      <c r="AB52" s="6">
        <f>IF(W52=-1,0,IF(路线!C6="计算",INT((W54/100)*路线!B13+X52*路线!B23+X54*路线!B21+Y52*路线!B33+Y54+20),INT((W54/100)*路线!B13+X52*路线!B23+X54*路线!B21+Y52*路线!B33+Y54)))</f>
        <v>155</v>
      </c>
      <c r="AE52" s="100"/>
      <c r="AF52" s="100"/>
      <c r="AG52" s="7">
        <v>4</v>
      </c>
      <c r="AI52">
        <f>IF(AG52=-1,0,IF(AG52&lt;=3,词条!I6,词条!J6))</f>
        <v>4</v>
      </c>
      <c r="AJ52" s="5">
        <f>IF(AG52=-1,0,INT(AG54+AH54*路线!B39+AI52*路线!B14+AI54))</f>
        <v>107</v>
      </c>
      <c r="AK52" s="5">
        <f>IF(AG52=-1,0,INT(AG54+AH54*路线!B39+AI52*路线!B17+AI54))</f>
        <v>103</v>
      </c>
      <c r="AL52" s="5">
        <f>IF(AG52=-1,0,INT(AG54+AH54*路线!B39+AI52*路线!B20+AI54))</f>
        <v>91</v>
      </c>
      <c r="AN52" s="1"/>
      <c r="AO52" s="100"/>
      <c r="AP52" s="100"/>
      <c r="AQ52" s="7">
        <v>4</v>
      </c>
      <c r="AR52">
        <f>IF(AQ52=-1,0,IF(AQ52=0,词条!I22,词条!J22))</f>
        <v>8</v>
      </c>
      <c r="AS52">
        <f>IF(AQ52=-1,0,IF(AQ52&lt;=3,词条!I7,词条!J7))</f>
        <v>13</v>
      </c>
      <c r="AT52" s="5">
        <f>IF(AQ52=-1,0,INT((AQ54/100)*路线!B11+AR52*路线!B35+AR54*路线!B34+AS52*路线!B15+AS54))</f>
        <v>252</v>
      </c>
      <c r="AU52" s="5">
        <f>IF(AQ52=-1,0,INT((AQ54/100)*路线!B12+AR52*路线!B35+AR54*路线!B34+AS52*路线!B18+AS54))</f>
        <v>225</v>
      </c>
      <c r="AV52" s="9">
        <f>IF(AQ52=-1,0,INT((AQ54/100)*路线!B13+AR52*路线!B35+AR54*路线!B34+AS52*路线!B21+AS54))</f>
        <v>159</v>
      </c>
      <c r="AW52" s="1"/>
      <c r="AX52" s="1"/>
      <c r="AY52" s="100"/>
      <c r="AZ52" s="100"/>
      <c r="BA52" s="7">
        <v>4</v>
      </c>
      <c r="BC52">
        <f>IF(BA52=-1,0,IF(BA52&lt;=3,词条!I7,词条!J7))</f>
        <v>13</v>
      </c>
      <c r="BD52" s="5">
        <f>IF(BA52=-1,0,INT(BA54+BB54*路线!B34+BC52*路线!B15+BC54))</f>
        <v>160</v>
      </c>
      <c r="BE52" s="5">
        <f>IF(BA52=-1,0,INT(BA54+BB54*路线!B34+BC52*路线!B18+BC54))</f>
        <v>147</v>
      </c>
      <c r="BF52" s="9">
        <f>IF(BA52=-1,0,INT(BA54+BB54*路线!B34+BC52*路线!B21+BC54))</f>
        <v>108</v>
      </c>
      <c r="BG52" s="1"/>
      <c r="BH52" s="1"/>
    </row>
    <row r="53" spans="1:60" ht="16" customHeight="1" x14ac:dyDescent="0.3">
      <c r="A53" s="100"/>
      <c r="B53" s="100"/>
      <c r="C53" t="s">
        <v>17</v>
      </c>
      <c r="D53" t="s">
        <v>36</v>
      </c>
      <c r="E53" t="s">
        <v>16</v>
      </c>
      <c r="F53" s="101"/>
      <c r="G53" s="100"/>
      <c r="H53" s="100"/>
      <c r="K53" s="100"/>
      <c r="L53" s="100"/>
      <c r="M53" t="s">
        <v>15</v>
      </c>
      <c r="N53" t="s">
        <v>36</v>
      </c>
      <c r="O53" t="s">
        <v>16</v>
      </c>
      <c r="P53" s="104" t="s">
        <v>37</v>
      </c>
      <c r="Q53" s="100"/>
      <c r="R53" s="100"/>
      <c r="U53" s="100"/>
      <c r="V53" s="100"/>
      <c r="W53" t="s">
        <v>17</v>
      </c>
      <c r="X53" t="s">
        <v>36</v>
      </c>
      <c r="Y53" t="s">
        <v>16</v>
      </c>
      <c r="Z53" s="101"/>
      <c r="AA53" s="100"/>
      <c r="AB53" s="100"/>
      <c r="AE53" s="100"/>
      <c r="AF53" s="100"/>
      <c r="AG53" t="s">
        <v>15</v>
      </c>
      <c r="AH53" t="s">
        <v>77</v>
      </c>
      <c r="AI53" t="s">
        <v>16</v>
      </c>
      <c r="AJ53" s="101"/>
      <c r="AK53" s="100"/>
      <c r="AL53" s="100"/>
      <c r="AN53" s="1"/>
      <c r="AO53" s="100"/>
      <c r="AP53" s="100"/>
      <c r="AQ53" t="s">
        <v>17</v>
      </c>
      <c r="AR53" t="s">
        <v>47</v>
      </c>
      <c r="AS53" t="s">
        <v>16</v>
      </c>
      <c r="AT53" s="101"/>
      <c r="AU53" s="100"/>
      <c r="AV53" s="100"/>
      <c r="AW53" s="1"/>
      <c r="AX53" s="1"/>
      <c r="AY53" s="100"/>
      <c r="AZ53" s="100"/>
      <c r="BA53" t="s">
        <v>15</v>
      </c>
      <c r="BB53" t="s">
        <v>47</v>
      </c>
      <c r="BC53" t="s">
        <v>16</v>
      </c>
      <c r="BD53" s="104" t="s">
        <v>37</v>
      </c>
      <c r="BE53" s="100"/>
      <c r="BF53" s="100"/>
      <c r="BG53" s="1"/>
      <c r="BH53" s="1"/>
    </row>
    <row r="54" spans="1:60" ht="16" customHeight="1" x14ac:dyDescent="0.3">
      <c r="A54" s="100"/>
      <c r="B54" s="100"/>
      <c r="C54">
        <f>IF(C52=-1,0,INDEX(词条!C4:G4,C52+1))</f>
        <v>8.5</v>
      </c>
      <c r="D54">
        <f>IF(C52=-1,0,IF(C52&lt;=2,词条!C7,词条!D7))</f>
        <v>17</v>
      </c>
      <c r="E54">
        <f>IF(C52=-1,0,CHOOSE(C52+1,词条!C2,词条!D2,词条!D2,词条!D2,词条!E2))</f>
        <v>40</v>
      </c>
      <c r="F54" s="106" t="s">
        <v>54</v>
      </c>
      <c r="G54" s="100"/>
      <c r="H54" s="100"/>
      <c r="K54" s="100"/>
      <c r="L54" s="100"/>
      <c r="M54">
        <f>IF(M52=-1,0,INDEX(词条!C3:G3,M52+1))</f>
        <v>60</v>
      </c>
      <c r="N54">
        <f>IF(M52=-1,0,IF(M52&lt;=2,词条!C7,词条!D7))</f>
        <v>17</v>
      </c>
      <c r="O54">
        <f>IF(M52=-1,0,CHOOSE(M52+1,词条!C2,词条!D2,词条!D2,词条!D2,词条!E2))</f>
        <v>40</v>
      </c>
      <c r="P54" s="106" t="s">
        <v>54</v>
      </c>
      <c r="Q54" s="100"/>
      <c r="R54" s="100"/>
      <c r="U54" s="100"/>
      <c r="V54" s="100"/>
      <c r="W54">
        <f>IF(W52=-1,0,INDEX(词条!C4:G4,W52+1))</f>
        <v>8.5</v>
      </c>
      <c r="X54">
        <f>IF(W52=-1,0,IF(W52&lt;=2,词条!C7,词条!D7))</f>
        <v>17</v>
      </c>
      <c r="Y54">
        <f>IF(W52=-1,0,CHOOSE(W52+1,词条!C2,词条!D2,词条!D2,词条!D2,词条!E2))</f>
        <v>40</v>
      </c>
      <c r="Z54" s="106" t="s">
        <v>54</v>
      </c>
      <c r="AA54" s="100"/>
      <c r="AB54" s="100"/>
      <c r="AE54" s="100"/>
      <c r="AF54" s="100"/>
      <c r="AG54">
        <f>IF(AG52=-1,0,INDEX(词条!I3:M3,AG52+1))</f>
        <v>45</v>
      </c>
      <c r="AH54">
        <f>IF(AG52=-1,0,IF(AG52&lt;=2,词条!I20,词条!J20))</f>
        <v>8</v>
      </c>
      <c r="AI54">
        <f>IF(AG52=-1,0,CHOOSE(AG52+1,词条!I2,词条!I2,词条!J2,词条!J2,词条!K2))</f>
        <v>30</v>
      </c>
      <c r="AJ54" s="105" t="s">
        <v>40</v>
      </c>
      <c r="AK54" s="100"/>
      <c r="AL54" s="100"/>
      <c r="AN54" s="1"/>
      <c r="AO54" s="100"/>
      <c r="AP54" s="100"/>
      <c r="AQ54">
        <f>IF(AQ52=-1,0,INDEX(词条!I4:M4,AQ52+1))</f>
        <v>6.4</v>
      </c>
      <c r="AR54">
        <f>IF(AQ52=-1,0,IF(AQ52&lt;=2,词条!I12,词条!J12))</f>
        <v>11</v>
      </c>
      <c r="AS54">
        <f>IF(AQ52=-1,0,CHOOSE(AQ52+1,词条!I2,词条!I2,词条!J2,词条!J2,词条!K2))</f>
        <v>30</v>
      </c>
      <c r="AT54" s="105" t="s">
        <v>40</v>
      </c>
      <c r="AU54" s="100"/>
      <c r="AV54" s="100"/>
      <c r="AW54" s="1"/>
      <c r="AX54" s="1"/>
      <c r="AY54" s="100"/>
      <c r="AZ54" s="100"/>
      <c r="BA54">
        <f>IF(BA52=-1,0,INDEX(词条!I3:M3,BA52+1))</f>
        <v>45</v>
      </c>
      <c r="BB54">
        <f>IF(BA52=-1,0,IF(BA52&lt;=2,词条!I12,词条!J12))</f>
        <v>11</v>
      </c>
      <c r="BC54">
        <f>IF(BA52=-1,0,CHOOSE(BA52+1,词条!I2,词条!I2,词条!J2,词条!J2,词条!K2))</f>
        <v>30</v>
      </c>
      <c r="BD54" s="105" t="s">
        <v>40</v>
      </c>
      <c r="BE54" s="100"/>
      <c r="BF54" s="100"/>
      <c r="BG54" s="1"/>
      <c r="BH54" s="1"/>
    </row>
    <row r="55" spans="1:60" ht="16"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spans="1:60" ht="16" customHeight="1" x14ac:dyDescent="0.3">
      <c r="A56" s="100" t="s">
        <v>85</v>
      </c>
      <c r="B56" s="100"/>
      <c r="C56" s="100"/>
      <c r="D56" s="100"/>
      <c r="E56" s="100"/>
      <c r="F56" s="100"/>
      <c r="G56" s="100"/>
      <c r="H56" s="1"/>
      <c r="K56" s="100" t="s">
        <v>86</v>
      </c>
      <c r="L56" s="100"/>
      <c r="M56" s="100"/>
      <c r="N56" s="100"/>
      <c r="O56" s="100"/>
      <c r="P56" s="100"/>
      <c r="Q56" s="100"/>
      <c r="U56" s="103" t="s">
        <v>87</v>
      </c>
      <c r="V56" s="100"/>
      <c r="W56" s="100"/>
      <c r="X56" s="100"/>
      <c r="Y56" s="100"/>
      <c r="Z56" s="100"/>
      <c r="AA56" s="100"/>
      <c r="AB56" s="1"/>
      <c r="AC56" s="1"/>
      <c r="AD56" s="1"/>
      <c r="AE56" s="99" t="s">
        <v>88</v>
      </c>
      <c r="AF56" s="100"/>
      <c r="AG56" s="100"/>
      <c r="AH56" s="100"/>
      <c r="AI56" s="100"/>
      <c r="AJ56" s="100"/>
      <c r="AK56" s="100"/>
      <c r="AL56" s="1"/>
      <c r="AM56" s="1"/>
      <c r="AN56" s="1"/>
      <c r="AO56" s="99" t="s">
        <v>89</v>
      </c>
      <c r="AP56" s="100"/>
      <c r="AQ56" s="100"/>
      <c r="AR56" s="100"/>
      <c r="AS56" s="100"/>
      <c r="AT56" s="100"/>
      <c r="AU56" s="100"/>
      <c r="AV56" s="1"/>
      <c r="AW56" s="1"/>
      <c r="AX56" s="1"/>
      <c r="AY56" s="99" t="s">
        <v>90</v>
      </c>
      <c r="AZ56" s="100"/>
      <c r="BA56" s="100"/>
      <c r="BB56" s="100"/>
      <c r="BC56" s="100"/>
      <c r="BD56" s="100"/>
      <c r="BE56" s="100"/>
      <c r="BF56" s="1"/>
      <c r="BG56" s="1"/>
      <c r="BH56" s="1"/>
    </row>
    <row r="57" spans="1:60" ht="63" customHeight="1" x14ac:dyDescent="0.3">
      <c r="A57" s="101"/>
      <c r="B57" s="100"/>
      <c r="C57" t="s">
        <v>7</v>
      </c>
      <c r="E57" t="s">
        <v>20</v>
      </c>
      <c r="F57" s="8" t="s">
        <v>9</v>
      </c>
      <c r="G57" s="5" t="s">
        <v>10</v>
      </c>
      <c r="H57" s="6" t="s">
        <v>11</v>
      </c>
      <c r="K57" s="101"/>
      <c r="L57" s="100"/>
      <c r="M57" t="s">
        <v>7</v>
      </c>
      <c r="O57" t="s">
        <v>19</v>
      </c>
      <c r="P57" s="8" t="s">
        <v>9</v>
      </c>
      <c r="Q57" s="5" t="s">
        <v>10</v>
      </c>
      <c r="R57" s="6" t="s">
        <v>11</v>
      </c>
      <c r="U57" s="101"/>
      <c r="V57" s="100"/>
      <c r="W57" t="s">
        <v>7</v>
      </c>
      <c r="Y57" t="s">
        <v>77</v>
      </c>
      <c r="Z57" s="8" t="s">
        <v>9</v>
      </c>
      <c r="AA57" s="5" t="s">
        <v>10</v>
      </c>
      <c r="AB57" s="6" t="s">
        <v>11</v>
      </c>
      <c r="AE57" s="100"/>
      <c r="AF57" s="100"/>
      <c r="AG57" t="s">
        <v>7</v>
      </c>
      <c r="AI57" t="s">
        <v>36</v>
      </c>
      <c r="AJ57" s="8" t="s">
        <v>9</v>
      </c>
      <c r="AK57" s="5" t="s">
        <v>10</v>
      </c>
      <c r="AL57" s="6" t="s">
        <v>11</v>
      </c>
      <c r="AN57" s="1"/>
      <c r="AO57" s="99"/>
      <c r="AP57" s="100"/>
      <c r="AQ57" t="s">
        <v>7</v>
      </c>
      <c r="AR57" t="s">
        <v>14</v>
      </c>
      <c r="AS57" t="s">
        <v>36</v>
      </c>
      <c r="AT57" s="8" t="s">
        <v>9</v>
      </c>
      <c r="AU57" s="5" t="s">
        <v>10</v>
      </c>
      <c r="AV57" s="6" t="s">
        <v>11</v>
      </c>
      <c r="AW57" s="1"/>
      <c r="AX57" s="1"/>
      <c r="AY57" s="99"/>
      <c r="AZ57" s="100"/>
      <c r="BA57" t="s">
        <v>7</v>
      </c>
      <c r="BC57" t="s">
        <v>36</v>
      </c>
      <c r="BD57" s="5" t="s">
        <v>9</v>
      </c>
      <c r="BE57" s="9" t="s">
        <v>10</v>
      </c>
      <c r="BF57" s="5" t="s">
        <v>11</v>
      </c>
      <c r="BG57" s="1"/>
      <c r="BH57" s="1"/>
    </row>
    <row r="58" spans="1:60" ht="16" customHeight="1" x14ac:dyDescent="0.3">
      <c r="A58" s="100"/>
      <c r="B58" s="100"/>
      <c r="C58" s="7">
        <v>4</v>
      </c>
      <c r="E58">
        <f>IF(C58=-1,0,IF(C58&lt;=3,词条!F18,词条!G18))</f>
        <v>8</v>
      </c>
      <c r="F58" s="8">
        <f>IF(C58=-1,0,INT(C60+E58*路线!B33+E60))</f>
        <v>132</v>
      </c>
      <c r="G58" s="5">
        <f>IF(C58=-1,0,INT(C60+E58*路线!B33+E60))</f>
        <v>132</v>
      </c>
      <c r="H58" s="6">
        <f>IF(C58=-1,0,INT(C60+E58*路线!B33+E60))</f>
        <v>132</v>
      </c>
      <c r="K58" s="100"/>
      <c r="L58" s="100"/>
      <c r="M58" s="7">
        <v>4</v>
      </c>
      <c r="O58">
        <f>IF(M58=-1,0,IF(M58&lt;=3,词条!C17,词条!D17))</f>
        <v>15</v>
      </c>
      <c r="P58" s="8">
        <f>IF(M58=-1,0,INT((M60/100)*路线!B11+N60*路线!B15+O58*路线!B31+O60))</f>
        <v>184</v>
      </c>
      <c r="Q58" s="5">
        <f>IF(M58=-1,0,INT((M60/100)*路线!B12+N60*路线!B18+O58*路线!B31+O60))</f>
        <v>148</v>
      </c>
      <c r="R58" s="6">
        <f>IF(M58=-1,0,INT((M60/100)*路线!B13+N60*路线!B21+O58*路线!B31+O60))</f>
        <v>61</v>
      </c>
      <c r="U58" s="100"/>
      <c r="V58" s="100"/>
      <c r="W58" s="7">
        <v>4</v>
      </c>
      <c r="Y58">
        <f>IF(W58=-1,0,IF(W58&lt;=3,词条!C20,词条!D20))</f>
        <v>11</v>
      </c>
      <c r="Z58" s="8">
        <f>IF(W58=-1,0,IF(路线!C6="计算",INT(W60+X60*路线!B15+Y58*路线!B39+Y60+20),INT(W60+X60*路线!B15+Y58*路线!B39+Y60)))</f>
        <v>210</v>
      </c>
      <c r="AA58" s="5">
        <f>IF(W58=-1,0,IF(路线!C6="计算",INT(W60+X60*路线!B18+Y58*路线!B39+Y60+20),INT(W60+X60*路线!B18+Y58*路线!B39+Y60)))</f>
        <v>193</v>
      </c>
      <c r="AB58" s="6">
        <f>IF(W58=-1,0,IF(路线!C6="计算",INT(W60+X60*路线!B21+Y58*路线!B39+Y60+20),INT(W60+X60*路线!B21+Y58*路线!B39+Y60)))</f>
        <v>142</v>
      </c>
      <c r="AE58" s="100"/>
      <c r="AF58" s="100"/>
      <c r="AG58" s="7">
        <v>4</v>
      </c>
      <c r="AI58">
        <f>IF(AG58=-1,0,IF(AG58&lt;=3,词条!I7,词条!J7))</f>
        <v>13</v>
      </c>
      <c r="AJ58" s="5">
        <f>IF(AG58=-1,0,IF(路线!C6="计算",INT(AG60+AH60*路线!B30+AI58*路线!B15+AI60+20),INT(AG60+AH60*路线!B30+AI58*路线!B15+AI60)))</f>
        <v>182</v>
      </c>
      <c r="AK58" s="5">
        <f>IF(AG58=-1,0,IF(路线!C6="计算",INT(AG60+AH60*路线!B30+AI58*路线!B18+AI60+20),INT(AG60+AH60*路线!B30+AI58*路线!B18+AI60)))</f>
        <v>169</v>
      </c>
      <c r="AL58" s="5">
        <f>IF(AG58=-1,0,IF(路线!C6="计算",INT(AG60+AH60*路线!B30+AI58*路线!B21+AI60+20),INT(AG60+AH60*路线!B30+AI58*路线!B21+AI60)))</f>
        <v>130</v>
      </c>
      <c r="AN58" s="1"/>
      <c r="AO58" s="100"/>
      <c r="AP58" s="100"/>
      <c r="AQ58" s="7">
        <v>4</v>
      </c>
      <c r="AR58">
        <f>IF(AQ58=-1,0,IF(AQ58=0,词条!I9,词条!J9))</f>
        <v>3</v>
      </c>
      <c r="AS58">
        <f>IF(AQ58=-1,0,IF(AQ58&lt;=3,词条!I7,词条!J7))</f>
        <v>13</v>
      </c>
      <c r="AT58" s="5">
        <f>IF(AQ58=-1,0,INT((AQ60/100)*路线!B11+AR58*(路线!B28+路线!B29)+AR60+AS58*路线!B15+AS60))</f>
        <v>168</v>
      </c>
      <c r="AU58" s="5">
        <f>IF(AQ58=-1,0,INT((AQ60/100)*路线!B12+AR58*(路线!B28+路线!B29)+AR60+AS58*路线!B18+AS60))</f>
        <v>141</v>
      </c>
      <c r="AV58" s="9">
        <f>IF(AQ58=-1,0,INT((AQ60/100)*路线!B13+AR58*(路线!B28+路线!B29)+AR60+AS58*路线!B21+AS60))</f>
        <v>75</v>
      </c>
      <c r="AW58" s="1"/>
      <c r="AX58" s="1"/>
      <c r="AY58" s="100"/>
      <c r="AZ58" s="100"/>
      <c r="BA58" s="7">
        <v>4</v>
      </c>
      <c r="BC58">
        <f>IF(BA58=-1,0,IF(BA58&lt;=3,词条!I7,词条!J7))</f>
        <v>13</v>
      </c>
      <c r="BD58" s="5">
        <f>IF(BA58=-1,0,IF(路线!C6="计算",INT(BA60+BB60*(路线!B28+路线!B29)+BC58*路线!B15+BC60+20),INT(BA60+BB60*(路线!B28+路线!B29)+BC58*路线!B15+BC60)))</f>
        <v>159</v>
      </c>
      <c r="BE58" s="5">
        <f>IF(BA58=-1,0,IF(路线!C6="计算",INT(BA60+BB60*(路线!B28+路线!B29)+BC58*路线!B18+BC60+20),INT(BA60+BB60*(路线!B28+路线!B29)+BC58*路线!B18+BC60)))</f>
        <v>146</v>
      </c>
      <c r="BF58" s="9">
        <f>IF(BA58=-1,0,IF(路线!C6="计算",INT(BA60+BB60*(路线!B28+路线!B29)+BC58*路线!B21+BC60+20),INT(BA60+BB60*(路线!B28+路线!B29)+BC58*路线!B21+BC60)))</f>
        <v>107</v>
      </c>
      <c r="BG58" s="1"/>
      <c r="BH58" s="1"/>
    </row>
    <row r="59" spans="1:60" ht="16" customHeight="1" x14ac:dyDescent="0.3">
      <c r="A59" s="100"/>
      <c r="B59" s="100"/>
      <c r="C59" t="s">
        <v>15</v>
      </c>
      <c r="E59" t="s">
        <v>388</v>
      </c>
      <c r="F59" s="104" t="s">
        <v>37</v>
      </c>
      <c r="G59" s="100"/>
      <c r="H59" s="100"/>
      <c r="K59" s="100"/>
      <c r="L59" s="100"/>
      <c r="M59" t="s">
        <v>17</v>
      </c>
      <c r="N59" t="s">
        <v>36</v>
      </c>
      <c r="O59" t="s">
        <v>16</v>
      </c>
      <c r="P59" s="101"/>
      <c r="Q59" s="100"/>
      <c r="R59" s="100"/>
      <c r="U59" s="100"/>
      <c r="V59" s="100"/>
      <c r="W59" t="s">
        <v>15</v>
      </c>
      <c r="X59" t="s">
        <v>36</v>
      </c>
      <c r="Y59" t="s">
        <v>16</v>
      </c>
      <c r="Z59" s="101"/>
      <c r="AA59" s="100"/>
      <c r="AB59" s="100"/>
      <c r="AE59" s="100"/>
      <c r="AF59" s="100"/>
      <c r="AG59" t="s">
        <v>15</v>
      </c>
      <c r="AH59" t="s">
        <v>8</v>
      </c>
      <c r="AI59" t="s">
        <v>16</v>
      </c>
      <c r="AJ59" s="104" t="s">
        <v>37</v>
      </c>
      <c r="AK59" s="100"/>
      <c r="AL59" s="100"/>
      <c r="AN59" s="1"/>
      <c r="AO59" s="100"/>
      <c r="AP59" s="100"/>
      <c r="AQ59" t="s">
        <v>17</v>
      </c>
      <c r="AR59" t="s">
        <v>39</v>
      </c>
      <c r="AS59" t="s">
        <v>16</v>
      </c>
      <c r="AT59" s="101"/>
      <c r="AU59" s="100"/>
      <c r="AV59" s="100"/>
      <c r="AW59" s="1"/>
      <c r="AX59" s="1"/>
      <c r="AY59" s="100"/>
      <c r="AZ59" s="100"/>
      <c r="BA59" t="s">
        <v>15</v>
      </c>
      <c r="BB59" t="s">
        <v>14</v>
      </c>
      <c r="BC59" t="s">
        <v>16</v>
      </c>
      <c r="BD59" s="101"/>
      <c r="BE59" s="100"/>
      <c r="BF59" s="100"/>
      <c r="BG59" s="1"/>
      <c r="BH59" s="1"/>
    </row>
    <row r="60" spans="1:60" ht="16" customHeight="1" x14ac:dyDescent="0.3">
      <c r="A60" s="100"/>
      <c r="B60" s="100"/>
      <c r="C60">
        <f>IF(C58=-1,0,INDEX(词条!C3:G3,C58+1))</f>
        <v>60</v>
      </c>
      <c r="E60">
        <f>IF(C58=-1,0,CHOOSE(C58+1,词条!C2,词条!D2,词条!D2,词条!D2,词条!E2))</f>
        <v>40</v>
      </c>
      <c r="F60" s="102" t="s">
        <v>22</v>
      </c>
      <c r="G60" s="100"/>
      <c r="H60" s="100"/>
      <c r="K60" s="100"/>
      <c r="L60" s="100"/>
      <c r="M60">
        <f>IF(M58=-1,0,INDEX(词条!C4:G4,M58+1))</f>
        <v>8.5</v>
      </c>
      <c r="N60">
        <f>IF(M58=-1,0,IF(M58&lt;=2,词条!C7,词条!D7))</f>
        <v>17</v>
      </c>
      <c r="O60">
        <f>IF(M58=-1,0,CHOOSE(M58+1,词条!C2,词条!D2,词条!D2,词条!D2,词条!E2))</f>
        <v>40</v>
      </c>
      <c r="P60" s="105" t="s">
        <v>40</v>
      </c>
      <c r="Q60" s="100"/>
      <c r="R60" s="100"/>
      <c r="U60" s="100"/>
      <c r="V60" s="100"/>
      <c r="W60">
        <f>IF(W58=-1,0,INDEX(词条!C3:G3,W58+1))</f>
        <v>60</v>
      </c>
      <c r="X60">
        <f>IF(W58=-1,0,IF(W58&lt;=2,词条!C7,词条!D7))</f>
        <v>17</v>
      </c>
      <c r="Y60">
        <f>IF(W58=-1,0,CHOOSE(W58+1,词条!C2,词条!D2,词条!D2,词条!D2,词条!E2))</f>
        <v>40</v>
      </c>
      <c r="Z60" s="105" t="s">
        <v>40</v>
      </c>
      <c r="AA60" s="100"/>
      <c r="AB60" s="100"/>
      <c r="AE60" s="100"/>
      <c r="AF60" s="100"/>
      <c r="AG60">
        <f>IF(AG58=-1,0,INDEX(词条!I3:M3,AG58+1))</f>
        <v>45</v>
      </c>
      <c r="AH60">
        <f>IF(AG58=-1,0,IF(AG58&lt;=2,词条!I16,词条!J16))</f>
        <v>5</v>
      </c>
      <c r="AI60">
        <f>IF(AG58=-1,0,CHOOSE(AG58+1,词条!I2,词条!I2,词条!J2,词条!J2,词条!K2))</f>
        <v>30</v>
      </c>
      <c r="AJ60" s="106" t="s">
        <v>54</v>
      </c>
      <c r="AK60" s="100"/>
      <c r="AL60" s="100"/>
      <c r="AN60" s="1"/>
      <c r="AO60" s="100"/>
      <c r="AP60" s="100"/>
      <c r="AQ60">
        <f>IF(AQ58=-1,0,INDEX(词条!I4:M4,AQ58+1))</f>
        <v>6.4</v>
      </c>
      <c r="AR60">
        <f>IF(AQ58=-1,0,IF(AQ58&lt;=2,词条!I19,词条!J19))</f>
        <v>17</v>
      </c>
      <c r="AS60">
        <f>IF(AQ58=-1,0,CHOOSE(AQ58+1,词条!I2,词条!I2,词条!J2,词条!J2,词条!K2))</f>
        <v>30</v>
      </c>
      <c r="AT60" s="106" t="s">
        <v>54</v>
      </c>
      <c r="AU60" s="100"/>
      <c r="AV60" s="100"/>
      <c r="AW60" s="1"/>
      <c r="AX60" s="1"/>
      <c r="AY60" s="100"/>
      <c r="AZ60" s="100"/>
      <c r="BA60">
        <f>IF(BA58=-1,0,INDEX(词条!I3:M3,BA58+1))</f>
        <v>45</v>
      </c>
      <c r="BB60">
        <f>IF(BA58=-1,0,IF(BA58&lt;=2,词条!I9,词条!J9))</f>
        <v>3</v>
      </c>
      <c r="BC60">
        <f>IF(BA58=-1,0,CHOOSE(BA58+1,词条!I2,词条!I2,词条!J2,词条!J2,词条!K2))</f>
        <v>30</v>
      </c>
      <c r="BD60" s="102" t="s">
        <v>22</v>
      </c>
      <c r="BE60" s="100"/>
      <c r="BF60" s="100"/>
      <c r="BG60" s="1"/>
      <c r="BH60" s="1"/>
    </row>
    <row r="61" spans="1:60" ht="16"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spans="1:60" ht="16" customHeight="1" x14ac:dyDescent="0.3">
      <c r="A62" s="103" t="s">
        <v>91</v>
      </c>
      <c r="B62" s="100"/>
      <c r="C62" s="100"/>
      <c r="D62" s="100"/>
      <c r="E62" s="100"/>
      <c r="F62" s="100"/>
      <c r="G62" s="100"/>
      <c r="H62" s="1"/>
      <c r="K62" s="103" t="s">
        <v>92</v>
      </c>
      <c r="L62" s="100"/>
      <c r="M62" s="100"/>
      <c r="N62" s="100"/>
      <c r="O62" s="100"/>
      <c r="P62" s="100"/>
      <c r="Q62" s="100"/>
      <c r="U62" s="103" t="s">
        <v>93</v>
      </c>
      <c r="V62" s="100"/>
      <c r="W62" s="100"/>
      <c r="X62" s="100"/>
      <c r="Y62" s="100"/>
      <c r="Z62" s="100"/>
      <c r="AA62" s="100"/>
      <c r="AC62" s="2" t="s">
        <v>5</v>
      </c>
      <c r="AE62" s="100" t="s">
        <v>94</v>
      </c>
      <c r="AF62" s="100"/>
      <c r="AG62" s="100"/>
      <c r="AH62" s="100"/>
      <c r="AI62" s="100"/>
      <c r="AJ62" s="100"/>
      <c r="AK62" s="100"/>
      <c r="AL62" s="1"/>
      <c r="AM62" s="1"/>
      <c r="AN62" s="1"/>
      <c r="AO62" s="100" t="s">
        <v>95</v>
      </c>
      <c r="AP62" s="100"/>
      <c r="AQ62" s="100"/>
      <c r="AR62" s="100"/>
      <c r="AS62" s="100"/>
      <c r="AT62" s="100"/>
      <c r="AU62" s="100"/>
      <c r="AV62" s="1"/>
      <c r="AW62" s="1"/>
      <c r="AX62" s="1"/>
      <c r="AY62" s="100" t="s">
        <v>96</v>
      </c>
      <c r="AZ62" s="100"/>
      <c r="BA62" s="100"/>
      <c r="BB62" s="100"/>
      <c r="BC62" s="100"/>
      <c r="BD62" s="100"/>
      <c r="BE62" s="100"/>
      <c r="BF62" s="1"/>
      <c r="BG62" s="1"/>
      <c r="BH62" s="1"/>
    </row>
    <row r="63" spans="1:60" ht="63" customHeight="1" x14ac:dyDescent="0.3">
      <c r="A63" s="101"/>
      <c r="B63" s="100"/>
      <c r="C63" t="s">
        <v>7</v>
      </c>
      <c r="D63" t="s">
        <v>8</v>
      </c>
      <c r="E63" t="s">
        <v>36</v>
      </c>
      <c r="F63" s="8" t="s">
        <v>9</v>
      </c>
      <c r="G63" s="5" t="s">
        <v>10</v>
      </c>
      <c r="H63" s="6" t="s">
        <v>11</v>
      </c>
      <c r="K63" s="101"/>
      <c r="L63" s="100"/>
      <c r="M63" t="s">
        <v>7</v>
      </c>
      <c r="O63" t="s">
        <v>47</v>
      </c>
      <c r="P63" s="8" t="s">
        <v>9</v>
      </c>
      <c r="Q63" s="5" t="s">
        <v>10</v>
      </c>
      <c r="R63" s="6" t="s">
        <v>11</v>
      </c>
      <c r="U63" s="101"/>
      <c r="V63" s="100"/>
      <c r="W63" t="s">
        <v>7</v>
      </c>
      <c r="Y63" t="s">
        <v>12</v>
      </c>
      <c r="Z63" s="8" t="s">
        <v>9</v>
      </c>
      <c r="AA63" s="5" t="s">
        <v>10</v>
      </c>
      <c r="AB63" s="6" t="s">
        <v>11</v>
      </c>
      <c r="AC63" s="2">
        <f>IF(W64=-1,0,75)</f>
        <v>75</v>
      </c>
      <c r="AE63" s="101"/>
      <c r="AF63" s="100"/>
      <c r="AG63" t="s">
        <v>7</v>
      </c>
      <c r="AJ63" s="8" t="s">
        <v>9</v>
      </c>
      <c r="AK63" s="5" t="s">
        <v>10</v>
      </c>
      <c r="AL63" s="6" t="s">
        <v>11</v>
      </c>
      <c r="AN63" s="1"/>
      <c r="AO63" s="100"/>
      <c r="AP63" s="100"/>
      <c r="AQ63" t="s">
        <v>7</v>
      </c>
      <c r="AR63" t="s">
        <v>20</v>
      </c>
      <c r="AS63" t="s">
        <v>19</v>
      </c>
      <c r="AT63" s="8" t="s">
        <v>9</v>
      </c>
      <c r="AU63" s="5" t="s">
        <v>10</v>
      </c>
      <c r="AV63" s="6" t="s">
        <v>11</v>
      </c>
      <c r="AW63" s="1"/>
      <c r="AX63" s="1"/>
      <c r="AY63" s="101"/>
      <c r="AZ63" s="100"/>
      <c r="BA63" t="s">
        <v>7</v>
      </c>
      <c r="BD63" s="5" t="s">
        <v>9</v>
      </c>
      <c r="BE63" s="9" t="s">
        <v>10</v>
      </c>
      <c r="BF63" s="5" t="s">
        <v>11</v>
      </c>
      <c r="BG63" s="1"/>
      <c r="BH63" s="1"/>
    </row>
    <row r="64" spans="1:60" ht="16" customHeight="1" x14ac:dyDescent="0.3">
      <c r="A64" s="100"/>
      <c r="B64" s="100"/>
      <c r="C64" s="7">
        <v>4</v>
      </c>
      <c r="D64">
        <f>IF(C64=-1,0,IF(C64&lt;=1,词条!C16,词条!D16))</f>
        <v>7</v>
      </c>
      <c r="E64">
        <f>IF(C64=-1,0,IF(C64&lt;=3,词条!C7,词条!D7))</f>
        <v>17</v>
      </c>
      <c r="F64" s="8">
        <f>IF(C64=-1,0,INT((C66/100)*路线!B11+D64*路线!B30+D66*(路线!B28+路线!B29)+E64*路线!B15+E66))</f>
        <v>249</v>
      </c>
      <c r="G64" s="5">
        <f>IF(C64=-1,0,INT((C66/100)*路线!B12+D64*路线!B30+D66*(路线!B28+路线!B29)+E64*路线!B18+E66))</f>
        <v>213</v>
      </c>
      <c r="H64" s="6">
        <f>IF(C64=-1,0,INT((C66/100)*路线!B13+D64*路线!B30+D66*(路线!B28+路线!B29)+E64*路线!B21+E66))</f>
        <v>126</v>
      </c>
      <c r="K64" s="100"/>
      <c r="L64" s="100"/>
      <c r="M64" s="7">
        <v>4</v>
      </c>
      <c r="O64">
        <f>IF(M64=-1,0,IF(M64&lt;=3,词条!C12,词条!D12))</f>
        <v>17</v>
      </c>
      <c r="P64" s="8">
        <f>IF(M64=-1,0,IF(路线!C6="计算",INT(M66+N66*路线!B15+O64*路线!B34+O66+20),INT(M66+N66*路线!B15+O64*路线!B34+O66)))</f>
        <v>239</v>
      </c>
      <c r="Q64" s="5">
        <f>IF(M64=-1,0,IF(路线!C6="计算",INT(M66+N66*路线!B18+O64*路线!B34+O66+20),INT(M66+N66*路线!B18+O64*路线!B34+O66)))</f>
        <v>222</v>
      </c>
      <c r="R64" s="6">
        <f>IF(M64=-1,0,IF(路线!C6="计算",INT(M66+N66*路线!B21+O64*路线!B34+O66+20),INT(M66+N66*路线!B21+O64*路线!B34+O66)))</f>
        <v>171</v>
      </c>
      <c r="U64" s="100"/>
      <c r="V64" s="100"/>
      <c r="W64" s="7">
        <v>4</v>
      </c>
      <c r="Y64">
        <f>IF(W64=-1,0,IF(W64&lt;=3,词条!C14,词条!D14))</f>
        <v>3</v>
      </c>
      <c r="Z64" s="8">
        <f>IF(W64=-1,0,INT(W66+X66*路线!B14+Y64*路线!B23+Y66))</f>
        <v>154</v>
      </c>
      <c r="AA64" s="5">
        <f>IF(W64=-1,0,INT(W66+X66*路线!B17+Y64*路线!B23+Y66))</f>
        <v>148</v>
      </c>
      <c r="AB64" s="6">
        <f>IF(W64=-1,0,INT(W66+X66*路线!B20+Y64*路线!B23+Y66))</f>
        <v>130</v>
      </c>
      <c r="AC64" s="2">
        <f>Z64+AC63</f>
        <v>229</v>
      </c>
      <c r="AE64" s="100"/>
      <c r="AF64" s="100"/>
      <c r="AG64" s="7">
        <v>4</v>
      </c>
      <c r="AJ64" s="5">
        <f>IF(AG64=-1,0,INT(AG66+AH66*(路线!B23+路线!B24)+AI66))</f>
        <v>119</v>
      </c>
      <c r="AK64" s="5">
        <f>IF(AG64=-1,0,INT(AG66+AH66*(路线!B23+路线!B24)+AI66))</f>
        <v>119</v>
      </c>
      <c r="AL64" s="5">
        <f>IF(AG64=-1,0,INT(AG66+AH66*(路线!B23+路线!B24)+AI66))</f>
        <v>119</v>
      </c>
      <c r="AN64" s="1"/>
      <c r="AO64" s="100"/>
      <c r="AP64" s="100"/>
      <c r="AQ64" s="7">
        <v>4</v>
      </c>
      <c r="AR64">
        <f>IF(AQ64=-1,0,IF(AQ64=0,词条!I18,词条!J18))</f>
        <v>8</v>
      </c>
      <c r="AS64">
        <f>IF(AQ64=-1,0,IF(AQ64&lt;=3,词条!I17,词条!J17))</f>
        <v>10</v>
      </c>
      <c r="AT64" s="5">
        <f>IF(AQ64=-1,0,IF(路线!C6="计算",INT(AQ66+AR64*路线!B33+AR66*路线!B34+AS64*路线!B31+AS66+20),INT(AQ66+AR64*路线!B33+AR66*路线!B34+AS64*路线!B31+AS66)))</f>
        <v>160</v>
      </c>
      <c r="AU64" s="5">
        <f>IF(AQ64=-1,0,IF(路线!C6="计算",INT(AQ66+AR64*路线!B33+AR66*路线!B34+AS64*路线!B31+AS66+20),INT(AQ66+AR64*路线!B33+AR66*路线!B34+AS64*路线!B31+AS66)))</f>
        <v>160</v>
      </c>
      <c r="AV64" s="9">
        <f>IF(AQ64=-1,0,IF(路线!C6="计算",INT(AQ66+AR64*路线!B33+AR66*路线!B34+AS64*路线!B31+AS66+20),INT(AQ66+AR64*路线!B33+AR66*路线!B34+AS64*路线!B31+AS66)))</f>
        <v>160</v>
      </c>
      <c r="AW64" s="1"/>
      <c r="AX64" s="1"/>
      <c r="AY64" s="100"/>
      <c r="AZ64" s="100"/>
      <c r="BA64" s="7">
        <v>4</v>
      </c>
      <c r="BD64" s="5">
        <f>IF(BA64=-1,0,INT(BA66+BB66*路线!B31+BC66))</f>
        <v>75</v>
      </c>
      <c r="BE64" s="5">
        <f>IF(BA64=-1,0,INT(BA66+BB66*路线!B31+BC66))</f>
        <v>75</v>
      </c>
      <c r="BF64" s="9">
        <f>IF(BA64=-1,0,INT(BA66+BB66*路线!B31+BC66))</f>
        <v>75</v>
      </c>
      <c r="BG64" s="1"/>
      <c r="BH64" s="1"/>
    </row>
    <row r="65" spans="1:60" ht="16" customHeight="1" x14ac:dyDescent="0.3">
      <c r="A65" s="100"/>
      <c r="B65" s="100"/>
      <c r="C65" t="s">
        <v>17</v>
      </c>
      <c r="D65" t="s">
        <v>14</v>
      </c>
      <c r="E65" t="s">
        <v>16</v>
      </c>
      <c r="F65" s="101"/>
      <c r="G65" s="100"/>
      <c r="H65" s="100"/>
      <c r="K65" s="100"/>
      <c r="L65" s="100"/>
      <c r="M65" t="s">
        <v>15</v>
      </c>
      <c r="N65" t="s">
        <v>36</v>
      </c>
      <c r="O65" t="s">
        <v>16</v>
      </c>
      <c r="P65" s="104" t="s">
        <v>37</v>
      </c>
      <c r="Q65" s="100"/>
      <c r="R65" s="100"/>
      <c r="U65" s="100"/>
      <c r="V65" s="100"/>
      <c r="W65" t="s">
        <v>15</v>
      </c>
      <c r="X65" t="s">
        <v>13</v>
      </c>
      <c r="Y65" t="s">
        <v>16</v>
      </c>
      <c r="Z65" s="104" t="s">
        <v>37</v>
      </c>
      <c r="AA65" s="100"/>
      <c r="AB65" s="100"/>
      <c r="AC65" s="2">
        <f>AA64+AC63</f>
        <v>223</v>
      </c>
      <c r="AE65" s="100"/>
      <c r="AF65" s="100"/>
      <c r="AG65" t="s">
        <v>15</v>
      </c>
      <c r="AH65" t="s">
        <v>97</v>
      </c>
      <c r="AI65" t="s">
        <v>16</v>
      </c>
      <c r="AJ65" s="104" t="s">
        <v>37</v>
      </c>
      <c r="AK65" s="100"/>
      <c r="AL65" s="100"/>
      <c r="AN65" s="1"/>
      <c r="AO65" s="100"/>
      <c r="AP65" s="100"/>
      <c r="AQ65" t="s">
        <v>15</v>
      </c>
      <c r="AR65" t="s">
        <v>47</v>
      </c>
      <c r="AS65" t="s">
        <v>16</v>
      </c>
      <c r="AT65" s="101"/>
      <c r="AU65" s="100"/>
      <c r="AV65" s="100"/>
      <c r="AW65" s="1"/>
      <c r="AX65" s="1"/>
      <c r="AY65" s="100"/>
      <c r="AZ65" s="100"/>
      <c r="BA65" t="s">
        <v>15</v>
      </c>
      <c r="BB65" t="s">
        <v>19</v>
      </c>
      <c r="BC65" t="s">
        <v>16</v>
      </c>
      <c r="BD65" s="104" t="s">
        <v>37</v>
      </c>
      <c r="BE65" s="100"/>
      <c r="BF65" s="100"/>
      <c r="BG65" s="1"/>
      <c r="BH65" s="1"/>
    </row>
    <row r="66" spans="1:60" ht="16" customHeight="1" x14ac:dyDescent="0.3">
      <c r="A66" s="100"/>
      <c r="B66" s="100"/>
      <c r="C66">
        <f>IF(C64=-1,0,INDEX(词条!C4:G4,C64+1))</f>
        <v>8.5</v>
      </c>
      <c r="D66">
        <f>IF(C64=-1,0,IF(C64&lt;=2,词条!C9,词条!D9))</f>
        <v>4</v>
      </c>
      <c r="E66">
        <f>IF(C64=-1,0,CHOOSE(C64+1,词条!C2,词条!D2,词条!D2,词条!D2,词条!E2))</f>
        <v>40</v>
      </c>
      <c r="F66" s="102" t="s">
        <v>22</v>
      </c>
      <c r="G66" s="100"/>
      <c r="H66" s="100"/>
      <c r="K66" s="100"/>
      <c r="L66" s="100"/>
      <c r="M66">
        <f>IF(M64=-1,0,INDEX(词条!C3:G3,M64+1))</f>
        <v>60</v>
      </c>
      <c r="N66">
        <f>IF(M64=-1,0,IF(M64&lt;=2,词条!C7,词条!D7))</f>
        <v>17</v>
      </c>
      <c r="O66">
        <f>IF(M64=-1,0,CHOOSE(M64+1,词条!C2,词条!D2,词条!D2,词条!D2,词条!E2))</f>
        <v>40</v>
      </c>
      <c r="P66" s="105" t="s">
        <v>40</v>
      </c>
      <c r="Q66" s="100"/>
      <c r="R66" s="100"/>
      <c r="U66" s="100"/>
      <c r="V66" s="100"/>
      <c r="W66">
        <f>IF(W64=-1,0,INDEX(词条!C3:G3,W64+1))</f>
        <v>60</v>
      </c>
      <c r="X66">
        <f>IF(W64=-1,0,IF(W64&lt;=2,词条!C6,词条!D6))</f>
        <v>6</v>
      </c>
      <c r="Y66">
        <f>IF(W64=-1,0,CHOOSE(W64+1,词条!C2,词条!D2,词条!D2,词条!D2,词条!E2))</f>
        <v>40</v>
      </c>
      <c r="Z66" s="102" t="s">
        <v>22</v>
      </c>
      <c r="AA66" s="100"/>
      <c r="AB66" s="100"/>
      <c r="AC66" s="2">
        <f>AB64+AC63</f>
        <v>205</v>
      </c>
      <c r="AE66" s="100"/>
      <c r="AF66" s="100"/>
      <c r="AG66">
        <f>IF(AG64=-1,0,INDEX(词条!I3:M3,AG64+1))</f>
        <v>45</v>
      </c>
      <c r="AH66">
        <f>IF(AG64=-1,0,IF(AG64&lt;=2,词条!I15,词条!J15))</f>
        <v>2</v>
      </c>
      <c r="AI66">
        <f>IF(AG64=-1,0,CHOOSE(AG64+1,词条!I2,词条!I2,词条!J2,词条!J2,词条!K2))</f>
        <v>30</v>
      </c>
      <c r="AJ66" s="102" t="s">
        <v>22</v>
      </c>
      <c r="AK66" s="100"/>
      <c r="AL66" s="100"/>
      <c r="AN66" s="1"/>
      <c r="AO66" s="100"/>
      <c r="AP66" s="100"/>
      <c r="AQ66">
        <f>IF(AQ64=-1,0,INDEX(词条!I3:M3,AQ64+1))</f>
        <v>45</v>
      </c>
      <c r="AR66">
        <f>IF(AQ64=-1,0,IF(AQ64&lt;=2,词条!I12,词条!J12))</f>
        <v>11</v>
      </c>
      <c r="AS66">
        <f>IF(AQ64=-1,0,CHOOSE(AQ64+1,词条!I2,词条!I2,词条!J2,词条!J2,词条!K2))</f>
        <v>30</v>
      </c>
      <c r="AT66" s="105" t="s">
        <v>40</v>
      </c>
      <c r="AU66" s="100"/>
      <c r="AV66" s="100"/>
      <c r="AW66" s="1"/>
      <c r="AX66" s="1"/>
      <c r="AY66" s="100"/>
      <c r="AZ66" s="100"/>
      <c r="BA66">
        <f>IF(BA64=-1,0,INDEX(词条!I3:M3,BA64+1))</f>
        <v>45</v>
      </c>
      <c r="BB66">
        <f>IF(BA64=-1,0,IF(BA64&lt;=2,词条!I17,词条!J17))</f>
        <v>10</v>
      </c>
      <c r="BC66">
        <f>IF(BA64=-1,0,CHOOSE(BA64+1,词条!I2,词条!I2,词条!J2,词条!J2,词条!K2))</f>
        <v>30</v>
      </c>
      <c r="BD66" s="102" t="s">
        <v>22</v>
      </c>
      <c r="BE66" s="100"/>
      <c r="BF66" s="100"/>
      <c r="BG66" s="1"/>
      <c r="BH66" s="1"/>
    </row>
    <row r="67" spans="1:60" ht="16"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6" customHeight="1" x14ac:dyDescent="0.3">
      <c r="A68" s="100" t="s">
        <v>98</v>
      </c>
      <c r="B68" s="100"/>
      <c r="C68" s="100"/>
      <c r="D68" s="100"/>
      <c r="E68" s="100"/>
      <c r="F68" s="100"/>
      <c r="G68" s="100"/>
      <c r="H68" s="1"/>
      <c r="K68" s="103" t="s">
        <v>99</v>
      </c>
      <c r="L68" s="100"/>
      <c r="M68" s="100"/>
      <c r="N68" s="100"/>
      <c r="O68" s="100"/>
      <c r="P68" s="100"/>
      <c r="Q68" s="100"/>
      <c r="U68" s="103" t="s">
        <v>100</v>
      </c>
      <c r="V68" s="100"/>
      <c r="W68" s="100"/>
      <c r="X68" s="100"/>
      <c r="Y68" s="100"/>
      <c r="Z68" s="100"/>
      <c r="AA68" s="100"/>
      <c r="AB68" s="1"/>
      <c r="AC68" s="1"/>
      <c r="AD68" s="1"/>
      <c r="AE68" s="99" t="s">
        <v>101</v>
      </c>
      <c r="AF68" s="100"/>
      <c r="AG68" s="100"/>
      <c r="AH68" s="100"/>
      <c r="AI68" s="100"/>
      <c r="AJ68" s="100"/>
      <c r="AK68" s="100"/>
      <c r="AL68" s="1"/>
      <c r="AM68" s="1"/>
      <c r="AN68" s="1"/>
      <c r="AO68" s="100" t="s">
        <v>102</v>
      </c>
      <c r="AP68" s="100"/>
      <c r="AQ68" s="100"/>
      <c r="AR68" s="100"/>
      <c r="AS68" s="100"/>
      <c r="AT68" s="100"/>
      <c r="AU68" s="100"/>
      <c r="AV68" s="1"/>
      <c r="AW68" s="1"/>
      <c r="AX68" s="1"/>
      <c r="AY68" s="100" t="s">
        <v>103</v>
      </c>
      <c r="AZ68" s="100"/>
      <c r="BA68" s="100"/>
      <c r="BB68" s="100"/>
      <c r="BC68" s="100"/>
      <c r="BD68" s="100"/>
      <c r="BE68" s="100"/>
      <c r="BF68" s="1"/>
      <c r="BG68" s="1"/>
      <c r="BH68" s="1"/>
    </row>
    <row r="69" spans="1:60" ht="63" customHeight="1" x14ac:dyDescent="0.3">
      <c r="A69" s="101"/>
      <c r="B69" s="100"/>
      <c r="C69" t="s">
        <v>7</v>
      </c>
      <c r="E69" t="s">
        <v>47</v>
      </c>
      <c r="F69" s="8" t="s">
        <v>9</v>
      </c>
      <c r="G69" s="5" t="s">
        <v>10</v>
      </c>
      <c r="H69" s="6" t="s">
        <v>11</v>
      </c>
      <c r="K69" s="101"/>
      <c r="L69" s="100"/>
      <c r="M69" t="s">
        <v>7</v>
      </c>
      <c r="P69" s="8" t="s">
        <v>9</v>
      </c>
      <c r="Q69" s="5" t="s">
        <v>10</v>
      </c>
      <c r="R69" s="6" t="s">
        <v>11</v>
      </c>
      <c r="U69" s="101"/>
      <c r="V69" s="100"/>
      <c r="W69" t="s">
        <v>7</v>
      </c>
      <c r="Y69" t="s">
        <v>19</v>
      </c>
      <c r="Z69" s="8" t="s">
        <v>9</v>
      </c>
      <c r="AA69" s="5" t="s">
        <v>10</v>
      </c>
      <c r="AB69" s="6" t="s">
        <v>11</v>
      </c>
      <c r="AE69" s="100"/>
      <c r="AF69" s="100"/>
      <c r="AG69" t="s">
        <v>7</v>
      </c>
      <c r="AI69" t="s">
        <v>19</v>
      </c>
      <c r="AJ69" s="8" t="s">
        <v>9</v>
      </c>
      <c r="AK69" s="5" t="s">
        <v>10</v>
      </c>
      <c r="AL69" s="6" t="s">
        <v>11</v>
      </c>
      <c r="AN69" s="1"/>
      <c r="AO69" s="100"/>
      <c r="AP69" s="100"/>
      <c r="AQ69" t="s">
        <v>7</v>
      </c>
      <c r="AS69" t="s">
        <v>36</v>
      </c>
      <c r="AT69" s="8" t="s">
        <v>9</v>
      </c>
      <c r="AU69" s="5" t="s">
        <v>10</v>
      </c>
      <c r="AV69" s="6" t="s">
        <v>11</v>
      </c>
      <c r="AW69" s="1"/>
      <c r="AX69" s="1"/>
      <c r="AY69" s="101"/>
      <c r="AZ69" s="100"/>
      <c r="BA69" t="s">
        <v>7</v>
      </c>
      <c r="BC69" t="s">
        <v>36</v>
      </c>
      <c r="BD69" s="5" t="s">
        <v>9</v>
      </c>
      <c r="BE69" s="9" t="s">
        <v>10</v>
      </c>
      <c r="BF69" s="5" t="s">
        <v>11</v>
      </c>
      <c r="BG69" s="1"/>
      <c r="BH69" s="1"/>
    </row>
    <row r="70" spans="1:60" ht="16" customHeight="1" x14ac:dyDescent="0.3">
      <c r="A70" s="100"/>
      <c r="B70" s="100"/>
      <c r="C70" s="7">
        <v>4</v>
      </c>
      <c r="E70">
        <f>IF(C70=-1,0,IF(C70&lt;=3,词条!C12,词条!D12))</f>
        <v>17</v>
      </c>
      <c r="F70" s="8">
        <f>IF(C70=-1,0,INT(C72+D72*路线!B25+E70*路线!B34+E72))</f>
        <v>199</v>
      </c>
      <c r="G70" s="5">
        <f>IF(C70=-1,0,INT(C72+D72*路线!B25+E70*路线!B34+E72))</f>
        <v>199</v>
      </c>
      <c r="H70" s="6">
        <f>IF(C70=-1,0,INT(C72+D72*路线!B25+E70*路线!B34+E72))</f>
        <v>199</v>
      </c>
      <c r="K70" s="100"/>
      <c r="L70" s="100"/>
      <c r="M70" s="7">
        <v>4</v>
      </c>
      <c r="P70" s="8">
        <f>IF(M70=-1,0,INT(M72+N72+O72))</f>
        <v>117</v>
      </c>
      <c r="Q70" s="5">
        <f>IF(M70=-1,0,INT(M72+N72+O72))</f>
        <v>117</v>
      </c>
      <c r="R70" s="6">
        <f>IF(M70=-1,0,INT(M72+N72+O72))</f>
        <v>117</v>
      </c>
      <c r="U70" s="100"/>
      <c r="V70" s="100"/>
      <c r="W70" s="7">
        <v>4</v>
      </c>
      <c r="Y70">
        <f>IF(W70=-1,0,IF(W70&lt;=3,词条!C17,词条!D17))</f>
        <v>15</v>
      </c>
      <c r="Z70" s="8">
        <f>IF(W70=-1,0,INT((W72/100)*路线!B11+X72*路线!B29+Y70*路线!B31+Y72))</f>
        <v>134</v>
      </c>
      <c r="AA70" s="5">
        <f>IF(W70=-1,0,INT((W72/100)*路线!B12+X72*路线!B29+Y70*路线!B31+Y72))</f>
        <v>115</v>
      </c>
      <c r="AB70" s="6">
        <f>IF(W70=-1,0,INT((W72/100)*路线!B13+X72*路线!B29+Y70*路线!B31+Y72))</f>
        <v>79</v>
      </c>
      <c r="AE70" s="100"/>
      <c r="AF70" s="100"/>
      <c r="AG70" s="7">
        <v>4</v>
      </c>
      <c r="AI70">
        <f>IF(AG70=-1,0,IF(AG70&lt;=3,词条!I17,词条!J17))</f>
        <v>10</v>
      </c>
      <c r="AJ70" s="5">
        <f>IF(AG70=-1,0,IF(路线!C6="计算",INT((AG72/100)*路线!B11+AH72*路线!B30+AI70*路线!B31+AI72+20),INT((AG72/100)*路线!B11+AH72*路线!B30+AI70*路线!B31+AI72)))</f>
        <v>142</v>
      </c>
      <c r="AK70" s="5">
        <f>IF(AG70=-1,0,IF(路线!C6="计算",INT((AG72/100)*路线!B12+AH72*路线!B30+AI70*路线!B31+AI72+20),INT((AG72/100)*路线!B12+AH72*路线!B30+AI70*路线!B31+AI72)))</f>
        <v>128</v>
      </c>
      <c r="AL70" s="5">
        <f>IF(AG70=-1,0,IF(路线!C6="计算",INT((AG72/100)*路线!B13+AH72*路线!B30+AI70*路线!B31+AI72+20),INT((AG72/100)*路线!B13+AH72*路线!B30+AI70*路线!B31+AI72)))</f>
        <v>101</v>
      </c>
      <c r="AN70" s="1"/>
      <c r="AO70" s="100"/>
      <c r="AP70" s="100"/>
      <c r="AQ70" s="7">
        <v>4</v>
      </c>
      <c r="AS70">
        <f>IF(AQ70=-1,0,IF(AQ70&lt;=3,词条!I7,词条!J7))</f>
        <v>13</v>
      </c>
      <c r="AT70" s="5">
        <f>IF(AQ70=-1,0,INT((AQ72/100)*路线!B11+AR72*路线!B33+AS70*路线!B15+AS72))</f>
        <v>171</v>
      </c>
      <c r="AU70" s="5">
        <f>IF(AQ70=-1,0,INT((AQ72/100)*路线!B12+AR72*路线!B33+AS70*路线!B18+AS72))</f>
        <v>144</v>
      </c>
      <c r="AV70" s="9">
        <f>IF(AQ70=-1,0,INT((AQ72/100)*路线!B13+AR72*路线!B33+AS70*路线!B21+AS72))</f>
        <v>78</v>
      </c>
      <c r="AW70" s="1"/>
      <c r="AX70" s="1"/>
      <c r="AY70" s="100"/>
      <c r="AZ70" s="100"/>
      <c r="BA70" s="7">
        <v>4</v>
      </c>
      <c r="BC70">
        <f>IF(BA70=-1,0,IF(BA70&lt;=3,词条!I7,词条!J7))</f>
        <v>13</v>
      </c>
      <c r="BD70" s="5">
        <f>IF(BA70=-1,0,IF(路线!C6="计算",INT((BA72/100)*路线!B11+BB72*路线!B31+BC70*路线!B15+BC72+20),INT((BA72/100)*路线!B11+BB72*路线!B31+BC70*路线!B15+BC72)))</f>
        <v>159</v>
      </c>
      <c r="BE70" s="5">
        <f>IF(BA70=-1,0,IF(路线!C6="计算",INT((BA72/100)*路线!B12+BB72*路线!B31+BC70*路线!B18+BC72+20),INT((BA72/100)*路线!B12+BB72*路线!B31+BC70*路线!B18+BC72)))</f>
        <v>132</v>
      </c>
      <c r="BF70" s="9">
        <f>IF(BA70=-1,0,IF(路线!C6="计算",INT((BA72/100)*路线!B13+BB72*路线!B31+BC70*路线!B21+BC72+20),INT((BA72/100)*路线!B13+BB72*路线!B31+BC70*路线!B21+BC72)))</f>
        <v>66</v>
      </c>
      <c r="BG70" s="1"/>
      <c r="BH70" s="1"/>
    </row>
    <row r="71" spans="1:60" ht="16" customHeight="1" x14ac:dyDescent="0.3">
      <c r="A71" s="100"/>
      <c r="B71" s="100"/>
      <c r="C71" t="s">
        <v>15</v>
      </c>
      <c r="D71" t="s">
        <v>104</v>
      </c>
      <c r="E71" t="s">
        <v>16</v>
      </c>
      <c r="F71" s="104" t="s">
        <v>37</v>
      </c>
      <c r="G71" s="100"/>
      <c r="H71" s="100"/>
      <c r="K71" s="100"/>
      <c r="L71" s="100"/>
      <c r="M71" t="s">
        <v>15</v>
      </c>
      <c r="N71" t="s">
        <v>39</v>
      </c>
      <c r="O71" t="s">
        <v>16</v>
      </c>
      <c r="P71" s="104" t="s">
        <v>37</v>
      </c>
      <c r="Q71" s="100"/>
      <c r="R71" s="100"/>
      <c r="U71" s="100"/>
      <c r="V71" s="100"/>
      <c r="W71" t="s">
        <v>17</v>
      </c>
      <c r="X71" t="s">
        <v>38</v>
      </c>
      <c r="Y71" t="s">
        <v>16</v>
      </c>
      <c r="Z71" s="101"/>
      <c r="AA71" s="100"/>
      <c r="AB71" s="100"/>
      <c r="AE71" s="100"/>
      <c r="AF71" s="100"/>
      <c r="AG71" t="s">
        <v>17</v>
      </c>
      <c r="AH71" t="s">
        <v>8</v>
      </c>
      <c r="AI71" t="s">
        <v>16</v>
      </c>
      <c r="AJ71" s="101"/>
      <c r="AK71" s="100"/>
      <c r="AL71" s="100"/>
      <c r="AN71" s="1"/>
      <c r="AO71" s="100"/>
      <c r="AP71" s="100"/>
      <c r="AQ71" t="s">
        <v>17</v>
      </c>
      <c r="AR71" t="s">
        <v>20</v>
      </c>
      <c r="AS71" t="s">
        <v>16</v>
      </c>
      <c r="AT71" s="101"/>
      <c r="AU71" s="100"/>
      <c r="AV71" s="100"/>
      <c r="AW71" s="1"/>
      <c r="AX71" s="1"/>
      <c r="AY71" s="100"/>
      <c r="AZ71" s="100"/>
      <c r="BA71" t="s">
        <v>17</v>
      </c>
      <c r="BB71" t="s">
        <v>19</v>
      </c>
      <c r="BC71" t="s">
        <v>16</v>
      </c>
      <c r="BD71" s="104" t="s">
        <v>37</v>
      </c>
      <c r="BE71" s="100"/>
      <c r="BF71" s="100"/>
      <c r="BG71" s="1"/>
      <c r="BH71" s="1"/>
    </row>
    <row r="72" spans="1:60" ht="16" customHeight="1" x14ac:dyDescent="0.3">
      <c r="A72" s="100"/>
      <c r="B72" s="100"/>
      <c r="C72">
        <f>IF(C70=-1,0,INDEX(词条!C3:G3,C70+1))</f>
        <v>60</v>
      </c>
      <c r="D72">
        <f>IF(C70=-1,0,IF(C70&lt;=2,词条!C21,词条!D21))</f>
        <v>4</v>
      </c>
      <c r="E72">
        <f>IF(C70=-1,0,CHOOSE(C70+1,词条!C2,词条!D2,词条!D2,词条!D2,词条!E2))</f>
        <v>40</v>
      </c>
      <c r="F72" s="106" t="s">
        <v>54</v>
      </c>
      <c r="G72" s="100"/>
      <c r="H72" s="100"/>
      <c r="K72" s="100"/>
      <c r="L72" s="100"/>
      <c r="M72">
        <f>IF(M70=-1,0,INDEX(词条!C3:G3,M70+1))</f>
        <v>60</v>
      </c>
      <c r="N72">
        <f>IF(M70=-1,0,IF(M70&lt;=2,词条!F19,词条!G19))</f>
        <v>17</v>
      </c>
      <c r="O72">
        <f>IF(M70=-1,0,CHOOSE(M70+1,词条!C2,词条!D2,词条!D2,词条!D2,词条!E2))</f>
        <v>40</v>
      </c>
      <c r="P72" s="107" t="s">
        <v>105</v>
      </c>
      <c r="Q72" s="100"/>
      <c r="R72" s="100"/>
      <c r="U72" s="100"/>
      <c r="V72" s="100"/>
      <c r="W72">
        <f>IF(W70=-1,0,INDEX(词条!C4:G4,W70+1))</f>
        <v>8.5</v>
      </c>
      <c r="X72">
        <f>IF(W70=-1,0,IF(W70&lt;=2,词条!C10,词条!D11))</f>
        <v>9</v>
      </c>
      <c r="Y72">
        <f>IF(W70=-1,0,CHOOSE(W70+1,词条!C2,词条!D2,词条!D2,词条!D2,词条!E2))</f>
        <v>40</v>
      </c>
      <c r="Z72" s="105" t="s">
        <v>40</v>
      </c>
      <c r="AA72" s="100"/>
      <c r="AB72" s="100"/>
      <c r="AE72" s="100"/>
      <c r="AF72" s="100"/>
      <c r="AG72">
        <f>IF(AG70=-1,0,INDEX(词条!I4:M4,AG70+1))</f>
        <v>6.4</v>
      </c>
      <c r="AH72">
        <f>IF(AG70=-1,0,IF(AG70&lt;=2,词条!I16,词条!J16))</f>
        <v>5</v>
      </c>
      <c r="AI72">
        <f>IF(AG70=-1,0,CHOOSE(AG70+1,词条!I2,词条!I2,词条!J2,词条!J2,词条!K2))</f>
        <v>30</v>
      </c>
      <c r="AJ72" s="105" t="s">
        <v>40</v>
      </c>
      <c r="AK72" s="100"/>
      <c r="AL72" s="100"/>
      <c r="AN72" s="1"/>
      <c r="AO72" s="100"/>
      <c r="AP72" s="100"/>
      <c r="AQ72">
        <f>IF(AQ70=-1,0,INDEX(词条!I4:M4,AQ70+1))</f>
        <v>6.4</v>
      </c>
      <c r="AR72">
        <f>IF(AQ70=-1,0,IF(AQ70&lt;=2,词条!I18,词条!J18))</f>
        <v>8</v>
      </c>
      <c r="AS72">
        <f>IF(AQ70=-1,0,CHOOSE(AQ70+1,词条!I2,词条!I2,词条!J2,词条!J2,词条!K2))</f>
        <v>30</v>
      </c>
      <c r="AT72" s="106" t="s">
        <v>54</v>
      </c>
      <c r="AU72" s="100"/>
      <c r="AV72" s="100"/>
      <c r="AW72" s="1"/>
      <c r="AX72" s="1"/>
      <c r="AY72" s="100"/>
      <c r="AZ72" s="100"/>
      <c r="BA72">
        <f>IF(BA70=-1,0,INDEX(词条!I4:M4,BA70+1))</f>
        <v>6.4</v>
      </c>
      <c r="BB72">
        <f>IF(BA70=-1,0,IF(BA70&lt;=2,词条!I17,词条!J17))</f>
        <v>10</v>
      </c>
      <c r="BC72">
        <f>IF(BA70=-1,0,CHOOSE(BA70+1,词条!I2,词条!I2,词条!J2,词条!J2,词条!K2))</f>
        <v>30</v>
      </c>
      <c r="BD72" s="107" t="s">
        <v>105</v>
      </c>
      <c r="BE72" s="100"/>
      <c r="BF72" s="100"/>
      <c r="BG72" s="1"/>
      <c r="BH72" s="1"/>
    </row>
    <row r="73" spans="1:60" ht="16"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6" customHeight="1" x14ac:dyDescent="0.3">
      <c r="A74" s="100" t="s">
        <v>106</v>
      </c>
      <c r="B74" s="100"/>
      <c r="C74" s="100"/>
      <c r="D74" s="100"/>
      <c r="E74" s="100"/>
      <c r="F74" s="100"/>
      <c r="G74" s="100"/>
      <c r="H74" s="1"/>
      <c r="K74" s="103" t="s">
        <v>107</v>
      </c>
      <c r="L74" s="100"/>
      <c r="M74" s="100"/>
      <c r="N74" s="100"/>
      <c r="O74" s="100"/>
      <c r="P74" s="100"/>
      <c r="Q74" s="100"/>
      <c r="U74" s="100" t="s">
        <v>108</v>
      </c>
      <c r="V74" s="100"/>
      <c r="W74" s="100"/>
      <c r="X74" s="100"/>
      <c r="Y74" s="100"/>
      <c r="Z74" s="100"/>
      <c r="AA74" s="100"/>
      <c r="AB74" s="1"/>
      <c r="AC74" s="1"/>
      <c r="AD74" s="1"/>
      <c r="AE74" s="99" t="s">
        <v>109</v>
      </c>
      <c r="AF74" s="100"/>
      <c r="AG74" s="100"/>
      <c r="AH74" s="100"/>
      <c r="AI74" s="100"/>
      <c r="AJ74" s="100"/>
      <c r="AK74" s="100"/>
      <c r="AL74" s="1"/>
      <c r="AM74" s="1"/>
      <c r="AN74" s="1"/>
      <c r="AO74" s="99" t="s">
        <v>110</v>
      </c>
      <c r="AP74" s="100"/>
      <c r="AQ74" s="100"/>
      <c r="AR74" s="100"/>
      <c r="AS74" s="100"/>
      <c r="AT74" s="100"/>
      <c r="AU74" s="100"/>
      <c r="AV74" s="1"/>
      <c r="AW74" s="2" t="s">
        <v>5</v>
      </c>
      <c r="AX74" s="2" t="s">
        <v>67</v>
      </c>
      <c r="AY74" s="99" t="s">
        <v>111</v>
      </c>
      <c r="AZ74" s="100"/>
      <c r="BA74" s="100"/>
      <c r="BB74" s="100"/>
      <c r="BC74" s="100"/>
      <c r="BD74" s="100"/>
      <c r="BE74" s="100"/>
      <c r="BF74" s="1"/>
      <c r="BG74" s="1"/>
      <c r="BH74" s="1"/>
    </row>
    <row r="75" spans="1:60" ht="63" customHeight="1" x14ac:dyDescent="0.3">
      <c r="A75" s="101"/>
      <c r="B75" s="100"/>
      <c r="C75" t="s">
        <v>7</v>
      </c>
      <c r="E75" t="s">
        <v>8</v>
      </c>
      <c r="F75" s="8" t="s">
        <v>9</v>
      </c>
      <c r="G75" s="5" t="s">
        <v>10</v>
      </c>
      <c r="H75" s="6" t="s">
        <v>11</v>
      </c>
      <c r="K75" s="101"/>
      <c r="L75" s="100"/>
      <c r="M75" t="s">
        <v>7</v>
      </c>
      <c r="N75" t="s">
        <v>20</v>
      </c>
      <c r="O75" t="s">
        <v>39</v>
      </c>
      <c r="P75" s="8" t="s">
        <v>9</v>
      </c>
      <c r="Q75" s="5" t="s">
        <v>10</v>
      </c>
      <c r="R75" s="6" t="s">
        <v>11</v>
      </c>
      <c r="U75" s="101"/>
      <c r="V75" s="100"/>
      <c r="W75" t="s">
        <v>7</v>
      </c>
      <c r="X75" t="s">
        <v>8</v>
      </c>
      <c r="Y75" t="s">
        <v>36</v>
      </c>
      <c r="Z75" s="8" t="s">
        <v>9</v>
      </c>
      <c r="AA75" s="5" t="s">
        <v>10</v>
      </c>
      <c r="AB75" s="6" t="s">
        <v>11</v>
      </c>
      <c r="AE75" s="100"/>
      <c r="AF75" s="100"/>
      <c r="AG75" t="s">
        <v>7</v>
      </c>
      <c r="AH75" t="s">
        <v>19</v>
      </c>
      <c r="AI75" t="s">
        <v>39</v>
      </c>
      <c r="AJ75" s="8" t="s">
        <v>9</v>
      </c>
      <c r="AK75" s="5" t="s">
        <v>10</v>
      </c>
      <c r="AL75" s="6" t="s">
        <v>11</v>
      </c>
      <c r="AO75" s="99"/>
      <c r="AP75" s="100"/>
      <c r="AQ75" t="s">
        <v>7</v>
      </c>
      <c r="AS75" t="s">
        <v>36</v>
      </c>
      <c r="AT75" s="8" t="s">
        <v>9</v>
      </c>
      <c r="AU75" s="5" t="s">
        <v>10</v>
      </c>
      <c r="AV75" s="6" t="s">
        <v>11</v>
      </c>
      <c r="AW75" s="16">
        <f>AX75*6</f>
        <v>60</v>
      </c>
      <c r="AX75" s="17">
        <v>10</v>
      </c>
      <c r="AY75" s="99"/>
      <c r="AZ75" s="100"/>
      <c r="BA75" t="s">
        <v>7</v>
      </c>
      <c r="BB75" t="s">
        <v>14</v>
      </c>
      <c r="BC75" t="s">
        <v>19</v>
      </c>
      <c r="BD75" s="5" t="s">
        <v>9</v>
      </c>
      <c r="BE75" s="9" t="s">
        <v>10</v>
      </c>
      <c r="BF75" s="5" t="s">
        <v>11</v>
      </c>
      <c r="BG75" s="1"/>
      <c r="BH75" s="1"/>
    </row>
    <row r="76" spans="1:60" ht="16" customHeight="1" x14ac:dyDescent="0.3">
      <c r="A76" s="100"/>
      <c r="B76" s="100"/>
      <c r="C76" s="7">
        <v>4</v>
      </c>
      <c r="E76">
        <f>IF(C76=-1,0,IF(C76&lt;=3,词条!C16,词条!D16))</f>
        <v>7</v>
      </c>
      <c r="F76" s="8">
        <f>IF(C76=-1,0,IF(路线!C6="计算",INT((C78/100)*路线!B11+D78*路线!B15+E76*路线!B30+E78+20),INT((C78/100)*路线!B11+D78*路线!B15+E76*路线!B30+E78)))</f>
        <v>253</v>
      </c>
      <c r="G76" s="5">
        <f>IF(C76=-1,0,IF(路线!C6="计算",INT((C78/100)*路线!B12+D78*路线!B18+E76*路线!B30+E78+20),INT((C78/100)*路线!B12+D78*路线!B18+E76*路线!B30+E78)))</f>
        <v>217</v>
      </c>
      <c r="H76" s="6">
        <f>IF(C76=-1,0,IF(路线!C6="计算",INT((C78/100)*路线!B13+D78*路线!B21+E76*路线!B30+E78+20),INT((C78/100)*路线!B13+D78*路线!B21+E76*路线!B30+E78)))</f>
        <v>130</v>
      </c>
      <c r="K76" s="100"/>
      <c r="L76" s="100"/>
      <c r="M76" s="7">
        <v>4</v>
      </c>
      <c r="N76">
        <f>IF(M76=-1,0,IF(M76&lt;=1,词条!C18,词条!D18))</f>
        <v>11</v>
      </c>
      <c r="O76">
        <f>IF(M76=-1,0,IF(M76&lt;=3,词条!C19,词条!D19))</f>
        <v>22</v>
      </c>
      <c r="P76" s="8">
        <f>IF(M76=-1,0,IF(路线!C6="计算",INT((M78/100)*路线!B11+N76*路线!B33+N78*路线!B15+O76+O78+20),INT((M78/100)*路线!B11+N76*路线!B33+N78*路线!B15+O76+O78)))</f>
        <v>270</v>
      </c>
      <c r="Q76" s="5">
        <f>IF(M76=-1,0,IF(路线!C6="计算",INT((M78/100)*路线!B12+N76*路线!B33+N78*路线!B18+O76+O78+20),INT((M78/100)*路线!B12+N76*路线!B33+N78*路线!B18+O76+O78)))</f>
        <v>234</v>
      </c>
      <c r="R76" s="6">
        <f>IF(M76=-1,0,IF(路线!C6="计算",INT((M78/100)*路线!B13+N76*路线!B33+N78*路线!B21+O76+O78+20),INT((M78/100)*路线!B13+N76*路线!B33+N78*路线!B21+O76+O78)))</f>
        <v>147</v>
      </c>
      <c r="U76" s="100"/>
      <c r="V76" s="100"/>
      <c r="W76" s="7">
        <v>4</v>
      </c>
      <c r="X76">
        <f>IF(W76=-1,0,IF(W76&lt;=1,词条!C16,词条!D16))</f>
        <v>7</v>
      </c>
      <c r="Y76">
        <f>IF(W76=-1,0,IF(W76&lt;=3,词条!C7,词条!D7))</f>
        <v>17</v>
      </c>
      <c r="Z76" s="8">
        <f>IF(W76=-1,0,IF(路线!C6="计算",INT((W78/100)*路线!B11+X76*路线!B30+X78*(路线!B28+路线!B29)+Y76*路线!B15+Y78+20),INT((W78/100)*路线!B11+X76*路线!B30+X78*(路线!B28+路线!B29)+Y76*路线!B15+Y78)))</f>
        <v>269</v>
      </c>
      <c r="AA76" s="5">
        <f>IF(W76=-1,0,IF(路线!C6="计算",INT((W78/100)*路线!B12+X76*路线!B30+X78*(路线!B28+路线!B29)+Y76*路线!B18+Y78+20),INT((W78/100)*路线!B12+X76*路线!B30+X78*(路线!B28+路线!B29)+Y76*路线!B18+Y78)))</f>
        <v>233</v>
      </c>
      <c r="AB76" s="6">
        <f>IF(W76=-1,0,IF(路线!C6="计算",INT((W78/100)*路线!B13+X76*路线!B30+X78*(路线!B28+路线!B29)+Y76*路线!B21+Y78+20),INT((W78/100)*路线!B13+X76*路线!B30+X78*(路线!B28+路线!B29)+Y76*路线!B21+Y78)))</f>
        <v>146</v>
      </c>
      <c r="AE76" s="100"/>
      <c r="AF76" s="100"/>
      <c r="AG76" s="7">
        <v>4</v>
      </c>
      <c r="AH76">
        <f>IF(AG76=-1,0,IF(AG76=0,词条!I17,词条!J17))</f>
        <v>10</v>
      </c>
      <c r="AI76">
        <f>IF(AG76=-1,0,IF(AG76&lt;=3,词条!I19,词条!J19))</f>
        <v>17</v>
      </c>
      <c r="AJ76" s="5">
        <f>IF(AG76=-1,0,INT(AG78+AH76*路线!B31+AH78*路线!B35+AI76+AI78))</f>
        <v>172</v>
      </c>
      <c r="AK76" s="5">
        <f>IF(AG76=-1,0,INT(AG78+AH76*路线!B31+AH78*路线!B35+AI76+AI78))</f>
        <v>172</v>
      </c>
      <c r="AL76" s="5">
        <f>IF(AG76=-1,0,INT(AG78+AH76*路线!B31+AH78*路线!B35+AI76+AI78))</f>
        <v>172</v>
      </c>
      <c r="AO76" s="100"/>
      <c r="AP76" s="100"/>
      <c r="AQ76" s="7">
        <v>4</v>
      </c>
      <c r="AS76">
        <f>IF(AQ76=-1,0,IF(AQ76&lt;=3,词条!I7,词条!J7))</f>
        <v>13</v>
      </c>
      <c r="AT76" s="5">
        <f>IF(AQ76=-1,0,INT(AQ78+AR78+AS76*路线!B15+AS78))</f>
        <v>144</v>
      </c>
      <c r="AU76" s="5">
        <f>IF(AQ76=-1,0,INT(AQ78+AR78+AS76*路线!B18+AS78))</f>
        <v>131</v>
      </c>
      <c r="AV76" s="9">
        <f>IF(AQ76=-1,0,INT(AQ78+AR78+AS76*路线!B21+AS78))</f>
        <v>92</v>
      </c>
      <c r="AW76" s="2">
        <f>AT76+AW75</f>
        <v>204</v>
      </c>
      <c r="AX76" s="1"/>
      <c r="AY76" s="100"/>
      <c r="AZ76" s="100"/>
      <c r="BA76" s="7">
        <v>4</v>
      </c>
      <c r="BB76">
        <f>IF(BA76=-1,0,IF(BA76=0,词条!I9,词条!J9))</f>
        <v>3</v>
      </c>
      <c r="BC76">
        <f>IF(BA76=-1,0,IF(BA76&lt;=3,词条!I17,词条!J17))</f>
        <v>10</v>
      </c>
      <c r="BD76" s="5">
        <f>IF(BA76=-1,0,IF(路线!C6="计算",INT(BA78+BB76*(路线!B28+路线!B29)+BB78*路线!B35+BC76*路线!B31+BC78+20),INT(BA78+BB76*(路线!B28+路线!B29)+BB78*路线!B35+BC76*路线!B31+BC78)))</f>
        <v>187</v>
      </c>
      <c r="BE76" s="5">
        <f>IF(BA76=-1,0,IF(路线!C6="计算",INT(BA78+BB76*(路线!B28+路线!B29)+BB78*路线!B35+BC76*路线!B31+BC78+20),INT(BA78+BB76*(路线!B28+路线!B29)+BB78*路线!B35+BC76*路线!B31+BC78)))</f>
        <v>187</v>
      </c>
      <c r="BF76" s="9">
        <f>IF(BA76=-1,0,IF(路线!C6="计算",INT(BA78+BB76*(路线!B28+路线!B29)+BB78*路线!B35+BC76*路线!B31+BC78+20),INT(BA78+BB76*(路线!B28+路线!B29)+BB78*路线!B35+BC76*路线!B31+BC78)))</f>
        <v>187</v>
      </c>
      <c r="BG76" s="1"/>
      <c r="BH76" s="1"/>
    </row>
    <row r="77" spans="1:60" ht="16" customHeight="1" x14ac:dyDescent="0.3">
      <c r="A77" s="100"/>
      <c r="B77" s="100"/>
      <c r="C77" t="s">
        <v>17</v>
      </c>
      <c r="D77" t="s">
        <v>36</v>
      </c>
      <c r="E77" t="s">
        <v>16</v>
      </c>
      <c r="F77" s="104" t="s">
        <v>37</v>
      </c>
      <c r="G77" s="100"/>
      <c r="H77" s="100"/>
      <c r="K77" s="100"/>
      <c r="L77" s="100"/>
      <c r="M77" t="s">
        <v>17</v>
      </c>
      <c r="N77" t="s">
        <v>36</v>
      </c>
      <c r="O77" t="s">
        <v>16</v>
      </c>
      <c r="P77" s="101"/>
      <c r="Q77" s="100"/>
      <c r="R77" s="100"/>
      <c r="U77" s="100"/>
      <c r="V77" s="100"/>
      <c r="W77" t="s">
        <v>17</v>
      </c>
      <c r="X77" t="s">
        <v>14</v>
      </c>
      <c r="Y77" t="s">
        <v>16</v>
      </c>
      <c r="Z77" s="101"/>
      <c r="AA77" s="100"/>
      <c r="AB77" s="100"/>
      <c r="AE77" s="100"/>
      <c r="AF77" s="100"/>
      <c r="AG77" t="s">
        <v>15</v>
      </c>
      <c r="AH77" t="s">
        <v>84</v>
      </c>
      <c r="AI77" t="s">
        <v>16</v>
      </c>
      <c r="AJ77" s="101"/>
      <c r="AK77" s="100"/>
      <c r="AL77" s="100"/>
      <c r="AO77" s="100"/>
      <c r="AP77" s="100"/>
      <c r="AQ77" t="s">
        <v>15</v>
      </c>
      <c r="AR77" t="s">
        <v>39</v>
      </c>
      <c r="AS77" t="s">
        <v>16</v>
      </c>
      <c r="AT77" s="104" t="s">
        <v>37</v>
      </c>
      <c r="AU77" s="100"/>
      <c r="AV77" s="100"/>
      <c r="AW77" s="2">
        <f>AU76+AW75</f>
        <v>191</v>
      </c>
      <c r="AX77" s="1"/>
      <c r="AY77" s="100"/>
      <c r="AZ77" s="100"/>
      <c r="BA77" t="s">
        <v>15</v>
      </c>
      <c r="BB77" t="s">
        <v>84</v>
      </c>
      <c r="BC77" t="s">
        <v>16</v>
      </c>
      <c r="BD77" s="101"/>
      <c r="BE77" s="100"/>
      <c r="BF77" s="100"/>
      <c r="BG77" s="1"/>
      <c r="BH77" s="1"/>
    </row>
    <row r="78" spans="1:60" ht="16" customHeight="1" x14ac:dyDescent="0.3">
      <c r="A78" s="100"/>
      <c r="B78" s="100"/>
      <c r="C78">
        <f>IF(C76=-1,0,INDEX(词条!C4:G4,C76+1))</f>
        <v>8.5</v>
      </c>
      <c r="D78">
        <f>IF(C76=-1,0,IF(C76&lt;=2,词条!C7,词条!D7))</f>
        <v>17</v>
      </c>
      <c r="E78">
        <f>IF(C76=-1,0,CHOOSE(C76+1,词条!C2,词条!D2,词条!D2,词条!D2,词条!E2))</f>
        <v>40</v>
      </c>
      <c r="F78" s="106" t="s">
        <v>54</v>
      </c>
      <c r="G78" s="100"/>
      <c r="H78" s="100"/>
      <c r="K78" s="100"/>
      <c r="L78" s="100"/>
      <c r="M78">
        <f>IF(M76=-1,0,INDEX(词条!C4:G4,M76+1))</f>
        <v>8.5</v>
      </c>
      <c r="N78">
        <f>IF(M76=-1,0,IF(M76&lt;=2,词条!C7,词条!D7))</f>
        <v>17</v>
      </c>
      <c r="O78">
        <f>IF(M76=-1,0,CHOOSE(M76+1,词条!C2,词条!D2,词条!D2,词条!D2,词条!E2))</f>
        <v>40</v>
      </c>
      <c r="P78" s="106" t="s">
        <v>54</v>
      </c>
      <c r="Q78" s="100"/>
      <c r="R78" s="100"/>
      <c r="U78" s="100"/>
      <c r="V78" s="100"/>
      <c r="W78">
        <f>IF(W76=-1,0,INDEX(词条!C4:G4,W76+1))</f>
        <v>8.5</v>
      </c>
      <c r="X78">
        <f>IF(W76=-1,0,IF(W76&lt;=2,词条!C9,词条!D9))</f>
        <v>4</v>
      </c>
      <c r="Y78">
        <f>IF(W76=-1,0,CHOOSE(W76+1,词条!C2,词条!D2,词条!D2,词条!D2,词条!E2))</f>
        <v>40</v>
      </c>
      <c r="Z78" s="102" t="s">
        <v>22</v>
      </c>
      <c r="AA78" s="100"/>
      <c r="AB78" s="100"/>
      <c r="AE78" s="100"/>
      <c r="AF78" s="100"/>
      <c r="AG78">
        <f>IF(AG76=-1,0,INDEX(词条!I3:M3,AG76+1))</f>
        <v>45</v>
      </c>
      <c r="AH78">
        <f>IF(AG76=-1,0,IF(AG76&lt;=2,词条!I22,词条!J22))</f>
        <v>8</v>
      </c>
      <c r="AI78">
        <f>IF(AG76=-1,0,CHOOSE(AG76+1,词条!I2,词条!I2,词条!J2,词条!J2,词条!K2))</f>
        <v>30</v>
      </c>
      <c r="AJ78" s="105" t="s">
        <v>40</v>
      </c>
      <c r="AK78" s="100"/>
      <c r="AL78" s="100"/>
      <c r="AO78" s="100"/>
      <c r="AP78" s="100"/>
      <c r="AQ78">
        <f>IF(AQ76=-1,0,INDEX(词条!I3:M3,AQ76+1))</f>
        <v>45</v>
      </c>
      <c r="AR78">
        <f>IF(AQ76=-1,0,IF(AQ76&lt;=2,词条!I19,词条!J19))</f>
        <v>17</v>
      </c>
      <c r="AS78">
        <f>IF(AQ76=-1,0,CHOOSE(AQ76+1,词条!I2,词条!I2,词条!J2,词条!J2,词条!K2))</f>
        <v>30</v>
      </c>
      <c r="AT78" s="105" t="s">
        <v>40</v>
      </c>
      <c r="AU78" s="100"/>
      <c r="AV78" s="100"/>
      <c r="AW78" s="2">
        <f>AV76+AW75</f>
        <v>152</v>
      </c>
      <c r="AX78" s="1"/>
      <c r="AY78" s="100"/>
      <c r="AZ78" s="100"/>
      <c r="BA78">
        <f>IF(BA76=-1,0,INDEX(词条!I3:M3,BA76+1))</f>
        <v>45</v>
      </c>
      <c r="BB78">
        <f>IF(BA76=-1,0,IF(BA76&lt;=2,词条!I22,词条!J22))</f>
        <v>8</v>
      </c>
      <c r="BC78">
        <f>IF(BA76=-1,0,CHOOSE(BA76+1,词条!I2,词条!I2,词条!J2,词条!J2,词条!K2))</f>
        <v>30</v>
      </c>
      <c r="BD78" s="107" t="s">
        <v>105</v>
      </c>
      <c r="BE78" s="100"/>
      <c r="BF78" s="100"/>
      <c r="BG78" s="1"/>
      <c r="BH78" s="1"/>
    </row>
    <row r="79" spans="1:60" ht="16"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6" customHeight="1" x14ac:dyDescent="0.3">
      <c r="A80" s="103" t="s">
        <v>112</v>
      </c>
      <c r="B80" s="100"/>
      <c r="C80" s="100"/>
      <c r="D80" s="100"/>
      <c r="E80" s="100"/>
      <c r="F80" s="100"/>
      <c r="G80" s="100"/>
      <c r="H80" s="1"/>
      <c r="K80" s="103" t="s">
        <v>113</v>
      </c>
      <c r="L80" s="100"/>
      <c r="M80" s="100"/>
      <c r="N80" s="100"/>
      <c r="O80" s="100"/>
      <c r="P80" s="100"/>
      <c r="Q80" s="100"/>
      <c r="U80" s="100" t="s">
        <v>114</v>
      </c>
      <c r="V80" s="100"/>
      <c r="W80" s="100"/>
      <c r="X80" s="100"/>
      <c r="Y80" s="100"/>
      <c r="Z80" s="100"/>
      <c r="AA80" s="100"/>
      <c r="AB80" s="1"/>
      <c r="AC80" s="1"/>
      <c r="AD80" s="1"/>
      <c r="AE80" s="99" t="s">
        <v>115</v>
      </c>
      <c r="AF80" s="100"/>
      <c r="AG80" s="100"/>
      <c r="AH80" s="100"/>
      <c r="AI80" s="100"/>
      <c r="AJ80" s="100"/>
      <c r="AK80" s="100"/>
      <c r="AL80" s="1"/>
      <c r="AM80" s="2" t="s">
        <v>5</v>
      </c>
      <c r="AN80" s="17" t="s">
        <v>116</v>
      </c>
      <c r="AO80" s="99" t="s">
        <v>117</v>
      </c>
      <c r="AP80" s="100"/>
      <c r="AQ80" s="100"/>
      <c r="AR80" s="100"/>
      <c r="AS80" s="100"/>
      <c r="AT80" s="100"/>
      <c r="AU80" s="100"/>
      <c r="AV80" s="1"/>
      <c r="AW80" s="1"/>
      <c r="AX80" s="1"/>
      <c r="AY80" s="99" t="s">
        <v>118</v>
      </c>
      <c r="AZ80" s="100"/>
      <c r="BA80" s="100"/>
      <c r="BB80" s="100"/>
      <c r="BC80" s="100"/>
      <c r="BD80" s="100"/>
      <c r="BE80" s="100"/>
      <c r="BF80" s="1"/>
      <c r="BG80" s="2" t="s">
        <v>5</v>
      </c>
      <c r="BH80" s="17" t="s">
        <v>119</v>
      </c>
    </row>
    <row r="81" spans="1:60" ht="63" customHeight="1" x14ac:dyDescent="0.3">
      <c r="A81" s="101"/>
      <c r="B81" s="100"/>
      <c r="C81" t="s">
        <v>7</v>
      </c>
      <c r="E81" t="s">
        <v>19</v>
      </c>
      <c r="F81" s="8" t="s">
        <v>9</v>
      </c>
      <c r="G81" s="5" t="s">
        <v>10</v>
      </c>
      <c r="H81" s="6" t="s">
        <v>11</v>
      </c>
      <c r="K81" s="101"/>
      <c r="L81" s="100"/>
      <c r="M81" t="s">
        <v>7</v>
      </c>
      <c r="O81" t="s">
        <v>12</v>
      </c>
      <c r="P81" s="8" t="s">
        <v>9</v>
      </c>
      <c r="Q81" s="5" t="s">
        <v>10</v>
      </c>
      <c r="R81" s="6" t="s">
        <v>11</v>
      </c>
      <c r="U81" s="101"/>
      <c r="V81" s="100"/>
      <c r="W81" t="s">
        <v>7</v>
      </c>
      <c r="Y81" t="s">
        <v>36</v>
      </c>
      <c r="Z81" s="8" t="s">
        <v>9</v>
      </c>
      <c r="AA81" s="5" t="s">
        <v>10</v>
      </c>
      <c r="AB81" s="6" t="s">
        <v>11</v>
      </c>
      <c r="AE81" s="100"/>
      <c r="AF81" s="100"/>
      <c r="AG81" t="s">
        <v>7</v>
      </c>
      <c r="AH81" t="s">
        <v>19</v>
      </c>
      <c r="AI81" t="s">
        <v>14</v>
      </c>
      <c r="AJ81" s="8" t="s">
        <v>9</v>
      </c>
      <c r="AK81" s="5" t="s">
        <v>10</v>
      </c>
      <c r="AL81" s="6" t="s">
        <v>11</v>
      </c>
      <c r="AM81" s="16">
        <f>AN81*6</f>
        <v>60</v>
      </c>
      <c r="AN81" s="17">
        <v>10</v>
      </c>
      <c r="AO81" s="99"/>
      <c r="AP81" s="100"/>
      <c r="AQ81" t="s">
        <v>7</v>
      </c>
      <c r="AR81" t="s">
        <v>14</v>
      </c>
      <c r="AS81" t="s">
        <v>36</v>
      </c>
      <c r="AT81" s="8" t="s">
        <v>9</v>
      </c>
      <c r="AU81" s="5" t="s">
        <v>10</v>
      </c>
      <c r="AV81" s="6" t="s">
        <v>11</v>
      </c>
      <c r="AW81" s="1"/>
      <c r="AX81" s="1"/>
      <c r="AY81" s="99"/>
      <c r="AZ81" s="100"/>
      <c r="BA81" t="s">
        <v>7</v>
      </c>
      <c r="BB81" t="s">
        <v>38</v>
      </c>
      <c r="BC81" t="s">
        <v>8</v>
      </c>
      <c r="BD81" s="5" t="s">
        <v>9</v>
      </c>
      <c r="BE81" s="9" t="s">
        <v>10</v>
      </c>
      <c r="BF81" s="5" t="s">
        <v>11</v>
      </c>
      <c r="BG81" s="16">
        <f>BH81*6</f>
        <v>60</v>
      </c>
      <c r="BH81" s="17">
        <v>10</v>
      </c>
    </row>
    <row r="82" spans="1:60" ht="16" customHeight="1" x14ac:dyDescent="0.3">
      <c r="A82" s="100"/>
      <c r="B82" s="100"/>
      <c r="C82" s="7">
        <v>4</v>
      </c>
      <c r="E82">
        <f>IF(C82=-1,0,IF(C82&lt;=3,词条!C17,词条!D17))</f>
        <v>15</v>
      </c>
      <c r="F82" s="8">
        <f>IF(C82=-1,0,INT((C84/100)*路线!B11+E82*路线!B31+E84))</f>
        <v>116</v>
      </c>
      <c r="G82" s="5">
        <f>IF(C82=-1,0,INT((C84/100)*路线!B12+E82*路线!B31+E84))</f>
        <v>97</v>
      </c>
      <c r="H82" s="6">
        <f>IF(C82=-1,0,INT((C84/100)*路线!B13+E82*路线!B31+E84))</f>
        <v>61</v>
      </c>
      <c r="K82" s="100"/>
      <c r="L82" s="100"/>
      <c r="M82" s="7">
        <v>4</v>
      </c>
      <c r="O82">
        <f>IF(M82=-1,0,IF(M82&lt;=3,词条!C14,词条!D14))</f>
        <v>3</v>
      </c>
      <c r="P82" s="8">
        <f>IF(M82=-1,0,INT(M84+N84*路线!B15+O82*路线!B23+O84))</f>
        <v>198</v>
      </c>
      <c r="Q82" s="5">
        <f>IF(M82=-1,0,INT(M84+N84*路线!B18+O82*路线!B23+O84))</f>
        <v>181</v>
      </c>
      <c r="R82" s="6">
        <f>IF(M82=-1,0,INT(M84+N84*路线!B21+O82*路线!B23+O84))</f>
        <v>130</v>
      </c>
      <c r="U82" s="100"/>
      <c r="V82" s="100"/>
      <c r="W82" s="7">
        <v>4</v>
      </c>
      <c r="Y82">
        <f>IF(W82=-1,0,IF(W82&lt;=3,词条!F7,词条!G7))</f>
        <v>13</v>
      </c>
      <c r="Z82" s="8">
        <f>IF(W82=-1,0,IF(路线!C6="计算",INT((W84/100)*路线!B11+X84*路线!B29+Y82*路线!B15+Y84+20),INT((W84/100)*路线!B11+X84*路线!B29+Y82*路线!B15+Y84)))</f>
        <v>202</v>
      </c>
      <c r="AA82" s="5">
        <f>IF(W82=-1,0,IF(路线!C6="计算",INT((W84/100)*路线!B12+X84*路线!B29+Y82*路线!B18+Y84+20),INT((W84/100)*路线!B12+X84*路线!B29+Y82*路线!B18+Y84)))</f>
        <v>170</v>
      </c>
      <c r="AB82" s="6">
        <f>IF(W82=-1,0,IF(路线!C6="计算",INT((W84/100)*路线!B13+X84*路线!B29+Y82*路线!B21+Y84+20),INT((W84/100)*路线!B13+X84*路线!B29+Y82*路线!B21+Y84)))</f>
        <v>95</v>
      </c>
      <c r="AE82" s="100"/>
      <c r="AF82" s="100"/>
      <c r="AG82" s="7">
        <v>4</v>
      </c>
      <c r="AH82">
        <f>IF(AG82=-1,0,IF(AG82=0,词条!I17,词条!J17))</f>
        <v>10</v>
      </c>
      <c r="AI82">
        <f>IF(AG82=-1,0,IF(AG82&lt;=3,词条!I9,词条!J9))</f>
        <v>3</v>
      </c>
      <c r="AJ82" s="5">
        <f>IF(AG82=-1,0,INT(AG84+AH82*路线!B31+AH84*路线!B30+AI82*(路线!B28+路线!B29)+AI84))</f>
        <v>122</v>
      </c>
      <c r="AK82" s="5">
        <f>IF(AG82=-1,0,INT(AG84+AH82*路线!B31+AH84*路线!B30+AI82*(路线!B28+路线!B29)+AI84))</f>
        <v>122</v>
      </c>
      <c r="AL82" s="5">
        <f>IF(AG82=-1,0,INT(AG84+AH82*路线!B31+AH84*路线!B30+AI82*(路线!B28+路线!B29)+AI84))</f>
        <v>122</v>
      </c>
      <c r="AM82" s="2">
        <f>AJ82+AM81</f>
        <v>182</v>
      </c>
      <c r="AN82" s="1"/>
      <c r="AO82" s="100"/>
      <c r="AP82" s="100"/>
      <c r="AQ82" s="7">
        <v>4</v>
      </c>
      <c r="AR82">
        <f>IF(AQ82=-1,0,IF(AQ82=0,词条!I9,词条!J9))</f>
        <v>3</v>
      </c>
      <c r="AS82">
        <f>IF(AQ82=-1,0,IF(AQ82&lt;=3,词条!I7,词条!J7))</f>
        <v>13</v>
      </c>
      <c r="AT82" s="5">
        <f>IF(AQ82=-1,0,INT(AQ84+AR82*(路线!B28+路线!B29)+AR84*路线!B34+AS82*路线!B15+AS84))</f>
        <v>172</v>
      </c>
      <c r="AU82" s="5">
        <f>IF(AQ82=-1,0,INT(AQ84+AR82*(路线!B28+路线!B29)+AR84*路线!B34+AS82*路线!B18+AS84))</f>
        <v>159</v>
      </c>
      <c r="AV82" s="5">
        <f>IF(AQ82=-1,0,INT(AQ84+AR82*(路线!B28+路线!B29)+AR84*路线!B34+AS82*路线!B21+AS84))</f>
        <v>120</v>
      </c>
      <c r="AW82" s="1"/>
      <c r="AX82" s="1"/>
      <c r="AY82" s="100"/>
      <c r="AZ82" s="100"/>
      <c r="BA82" s="7">
        <v>4</v>
      </c>
      <c r="BB82">
        <f>IF(BA82=-1,0,IF(BA82=0,词条!I10,词条!J10))</f>
        <v>6</v>
      </c>
      <c r="BC82">
        <f>IF(BA82=-1,0,IF(BA82&lt;=3,词条!I16,词条!J16))</f>
        <v>5</v>
      </c>
      <c r="BD82" s="5">
        <f>IF(BA82=-1,0,INT(BA84+BB82*路线!B29+BB84+BC82*路线!B30+BC84))</f>
        <v>139</v>
      </c>
      <c r="BE82" s="5">
        <f>IF(BA82=-1,0,INT(BA84+BB82*路线!B29+BB84+BC82*路线!B30+BC84))</f>
        <v>139</v>
      </c>
      <c r="BF82" s="9">
        <f>IF(BA82=-1,0,INT(BA84+BB82*路线!B29+BB84+BC82*路线!B30+BC84))</f>
        <v>139</v>
      </c>
      <c r="BG82" s="2">
        <f>BD82+BG81</f>
        <v>199</v>
      </c>
      <c r="BH82" s="1"/>
    </row>
    <row r="83" spans="1:60" ht="16" customHeight="1" x14ac:dyDescent="0.3">
      <c r="A83" s="100"/>
      <c r="B83" s="100"/>
      <c r="C83" t="s">
        <v>17</v>
      </c>
      <c r="E83" t="s">
        <v>16</v>
      </c>
      <c r="F83" s="104" t="s">
        <v>37</v>
      </c>
      <c r="G83" s="100"/>
      <c r="H83" s="100"/>
      <c r="K83" s="100"/>
      <c r="L83" s="100"/>
      <c r="M83" t="s">
        <v>15</v>
      </c>
      <c r="N83" t="s">
        <v>36</v>
      </c>
      <c r="O83" t="s">
        <v>16</v>
      </c>
      <c r="P83" s="104" t="s">
        <v>37</v>
      </c>
      <c r="Q83" s="100"/>
      <c r="R83" s="100"/>
      <c r="U83" s="100"/>
      <c r="V83" s="100"/>
      <c r="W83" t="s">
        <v>17</v>
      </c>
      <c r="X83" t="s">
        <v>38</v>
      </c>
      <c r="Y83" t="s">
        <v>16</v>
      </c>
      <c r="Z83" s="101"/>
      <c r="AA83" s="100"/>
      <c r="AB83" s="100"/>
      <c r="AE83" s="100"/>
      <c r="AF83" s="100"/>
      <c r="AG83" t="s">
        <v>15</v>
      </c>
      <c r="AH83" t="s">
        <v>8</v>
      </c>
      <c r="AI83" t="s">
        <v>16</v>
      </c>
      <c r="AJ83" s="101"/>
      <c r="AK83" s="100"/>
      <c r="AL83" s="100"/>
      <c r="AM83" s="2">
        <f>AK82+AM81</f>
        <v>182</v>
      </c>
      <c r="AN83" s="1"/>
      <c r="AO83" s="100"/>
      <c r="AP83" s="100"/>
      <c r="AQ83" t="s">
        <v>15</v>
      </c>
      <c r="AR83" t="s">
        <v>47</v>
      </c>
      <c r="AS83" t="s">
        <v>16</v>
      </c>
      <c r="AT83" s="101"/>
      <c r="AU83" s="100"/>
      <c r="AV83" s="100"/>
      <c r="AW83" s="1"/>
      <c r="AX83" s="1"/>
      <c r="AY83" s="100"/>
      <c r="AZ83" s="100"/>
      <c r="BA83" t="s">
        <v>15</v>
      </c>
      <c r="BB83" t="s">
        <v>39</v>
      </c>
      <c r="BC83" t="s">
        <v>16</v>
      </c>
      <c r="BD83" s="101"/>
      <c r="BE83" s="100"/>
      <c r="BF83" s="100"/>
      <c r="BG83" s="2">
        <f>BE82+BG81</f>
        <v>199</v>
      </c>
      <c r="BH83" s="1"/>
    </row>
    <row r="84" spans="1:60" ht="16" customHeight="1" x14ac:dyDescent="0.3">
      <c r="A84" s="100"/>
      <c r="B84" s="100"/>
      <c r="C84">
        <f>IF(C82=-1,0,INDEX(词条!C4:G4,C82+1))</f>
        <v>8.5</v>
      </c>
      <c r="E84">
        <f>IF(C82=-1,0,CHOOSE(C82+1,词条!C2,词条!D2,词条!D2,词条!D2,词条!E2))</f>
        <v>40</v>
      </c>
      <c r="F84" s="107" t="s">
        <v>105</v>
      </c>
      <c r="G84" s="100"/>
      <c r="H84" s="100"/>
      <c r="K84" s="100"/>
      <c r="L84" s="100"/>
      <c r="M84">
        <f>IF(M82=-1,0,INDEX(词条!C3:G3,M82+1))</f>
        <v>60</v>
      </c>
      <c r="N84">
        <f>IF(M82=-1,0,IF(M82&lt;=2,词条!C7,词条!D7))</f>
        <v>17</v>
      </c>
      <c r="O84">
        <f>IF(M82=-1,0,CHOOSE(M82+1,词条!C2,词条!D2,词条!D2,词条!D2,词条!E2))</f>
        <v>40</v>
      </c>
      <c r="P84" s="107" t="s">
        <v>105</v>
      </c>
      <c r="Q84" s="100"/>
      <c r="R84" s="100"/>
      <c r="U84" s="100"/>
      <c r="V84" s="100"/>
      <c r="W84">
        <f>IF(W82=-1,0,INDEX(词条!C4:G4,W82+1))</f>
        <v>8.5</v>
      </c>
      <c r="X84">
        <f>IF(W82=-1,0,IF(W82&lt;=2,词条!F10,词条!G10))</f>
        <v>7</v>
      </c>
      <c r="Y84">
        <f>IF(W82=-1,0,CHOOSE(W82+1,词条!C2,词条!D2,词条!D2,词条!D2,词条!E2))</f>
        <v>40</v>
      </c>
      <c r="Z84" s="107" t="s">
        <v>105</v>
      </c>
      <c r="AA84" s="100"/>
      <c r="AB84" s="100"/>
      <c r="AE84" s="100"/>
      <c r="AF84" s="100"/>
      <c r="AG84">
        <f>IF(AG82=-1,0,INDEX(词条!I3:M3,AG82+1))</f>
        <v>45</v>
      </c>
      <c r="AH84">
        <f>IF(AG82=-1,0,IF(AG82&lt;=2,词条!I16,词条!J16))</f>
        <v>5</v>
      </c>
      <c r="AI84">
        <f>IF(AG82=-1,0,CHOOSE(AG82+1,词条!I2,词条!I2,词条!J2,词条!J2,词条!K2))</f>
        <v>30</v>
      </c>
      <c r="AJ84" s="102" t="s">
        <v>22</v>
      </c>
      <c r="AK84" s="100"/>
      <c r="AL84" s="100"/>
      <c r="AM84" s="2">
        <f>AL82+AM81</f>
        <v>182</v>
      </c>
      <c r="AN84" s="1"/>
      <c r="AO84" s="100"/>
      <c r="AP84" s="100"/>
      <c r="AQ84">
        <f>IF(AQ82=-1,0,INDEX(词条!I3:M3,AQ82+1))</f>
        <v>45</v>
      </c>
      <c r="AR84">
        <f>IF(AQ82=-1,0,IF(AQ82&lt;=2,词条!I12,词条!J12))</f>
        <v>11</v>
      </c>
      <c r="AS84">
        <f>IF(AQ82=-1,0,CHOOSE(AQ82+1,词条!I2,词条!I2,词条!J2,词条!J2,词条!K2))</f>
        <v>30</v>
      </c>
      <c r="AT84" s="102" t="s">
        <v>22</v>
      </c>
      <c r="AU84" s="100"/>
      <c r="AV84" s="100"/>
      <c r="AW84" s="1"/>
      <c r="AX84" s="1"/>
      <c r="AY84" s="100"/>
      <c r="AZ84" s="100"/>
      <c r="BA84">
        <f>IF(BA82=-1,0,INDEX(词条!I3:M3,BA82+1))</f>
        <v>45</v>
      </c>
      <c r="BB84">
        <f>IF(BA82=-1,0,IF(BA82&lt;=2,词条!I19,词条!J19))</f>
        <v>17</v>
      </c>
      <c r="BC84">
        <f>IF(BA82=-1,0,CHOOSE(BA82+1,词条!I2,词条!I2,词条!J2,词条!J2,词条!K2))</f>
        <v>30</v>
      </c>
      <c r="BD84" s="107" t="s">
        <v>105</v>
      </c>
      <c r="BE84" s="100"/>
      <c r="BF84" s="100"/>
      <c r="BG84" s="2">
        <f>BF82+BG81</f>
        <v>199</v>
      </c>
      <c r="BH84" s="1"/>
    </row>
    <row r="85" spans="1:60" ht="16"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6" customHeight="1" x14ac:dyDescent="0.3">
      <c r="A86" s="103" t="s">
        <v>120</v>
      </c>
      <c r="B86" s="100"/>
      <c r="C86" s="100"/>
      <c r="D86" s="100"/>
      <c r="E86" s="100"/>
      <c r="F86" s="100"/>
      <c r="G86" s="100"/>
      <c r="H86" s="1"/>
      <c r="K86" s="103" t="s">
        <v>121</v>
      </c>
      <c r="L86" s="100"/>
      <c r="M86" s="100"/>
      <c r="N86" s="100"/>
      <c r="O86" s="100"/>
      <c r="P86" s="100"/>
      <c r="Q86" s="100"/>
      <c r="U86" s="100" t="s">
        <v>122</v>
      </c>
      <c r="V86" s="100"/>
      <c r="W86" s="100"/>
      <c r="X86" s="100"/>
      <c r="Y86" s="100"/>
      <c r="Z86" s="100"/>
      <c r="AA86" s="100"/>
      <c r="AB86" s="1"/>
      <c r="AC86" s="1"/>
      <c r="AD86" s="1"/>
      <c r="AE86" s="1"/>
      <c r="AF86" s="1"/>
      <c r="AN86" s="1"/>
      <c r="AO86" s="100" t="s">
        <v>123</v>
      </c>
      <c r="AP86" s="100"/>
      <c r="AQ86" s="100"/>
      <c r="AR86" s="100"/>
      <c r="AS86" s="100"/>
      <c r="AT86" s="100"/>
      <c r="AU86" s="100"/>
      <c r="AV86" s="1"/>
      <c r="AW86" s="1"/>
      <c r="AX86" s="1"/>
      <c r="AY86" s="100" t="s">
        <v>124</v>
      </c>
      <c r="AZ86" s="100"/>
      <c r="BA86" s="100"/>
      <c r="BB86" s="100"/>
      <c r="BC86" s="100"/>
      <c r="BD86" s="100"/>
      <c r="BE86" s="100"/>
      <c r="BF86" s="1"/>
      <c r="BG86" s="1"/>
      <c r="BH86" s="1"/>
    </row>
    <row r="87" spans="1:60" ht="63" customHeight="1" x14ac:dyDescent="0.3">
      <c r="A87" s="101"/>
      <c r="B87" s="100"/>
      <c r="C87" t="s">
        <v>7</v>
      </c>
      <c r="E87" t="s">
        <v>19</v>
      </c>
      <c r="F87" s="8" t="s">
        <v>9</v>
      </c>
      <c r="G87" s="5" t="s">
        <v>10</v>
      </c>
      <c r="H87" s="6" t="s">
        <v>11</v>
      </c>
      <c r="K87" s="101"/>
      <c r="L87" s="100"/>
      <c r="M87" t="s">
        <v>7</v>
      </c>
      <c r="O87" t="s">
        <v>8</v>
      </c>
      <c r="P87" s="8" t="s">
        <v>9</v>
      </c>
      <c r="Q87" s="5" t="s">
        <v>10</v>
      </c>
      <c r="R87" s="6" t="s">
        <v>11</v>
      </c>
      <c r="U87" s="101"/>
      <c r="V87" s="100"/>
      <c r="W87" t="s">
        <v>7</v>
      </c>
      <c r="Y87" t="s">
        <v>20</v>
      </c>
      <c r="Z87" s="8" t="s">
        <v>9</v>
      </c>
      <c r="AA87" s="9" t="s">
        <v>10</v>
      </c>
      <c r="AB87" s="6" t="s">
        <v>11</v>
      </c>
      <c r="AC87" s="1"/>
      <c r="AD87" s="1"/>
      <c r="AE87" s="1"/>
      <c r="AF87" s="1"/>
      <c r="AN87" s="1"/>
      <c r="AO87" s="101"/>
      <c r="AP87" s="100"/>
      <c r="AQ87" t="s">
        <v>7</v>
      </c>
      <c r="AT87" s="8" t="s">
        <v>9</v>
      </c>
      <c r="AU87" s="5" t="s">
        <v>10</v>
      </c>
      <c r="AV87" s="6" t="s">
        <v>11</v>
      </c>
      <c r="AW87" s="1"/>
      <c r="AX87" s="1"/>
      <c r="AY87" s="101"/>
      <c r="AZ87" s="100"/>
      <c r="BA87" t="s">
        <v>7</v>
      </c>
      <c r="BC87" t="s">
        <v>36</v>
      </c>
      <c r="BD87" s="5" t="s">
        <v>9</v>
      </c>
      <c r="BE87" s="9" t="s">
        <v>10</v>
      </c>
      <c r="BF87" s="5" t="s">
        <v>11</v>
      </c>
      <c r="BG87" s="1"/>
      <c r="BH87" s="1"/>
    </row>
    <row r="88" spans="1:60" ht="16" customHeight="1" x14ac:dyDescent="0.3">
      <c r="A88" s="100"/>
      <c r="B88" s="100"/>
      <c r="C88" s="7">
        <v>4</v>
      </c>
      <c r="E88">
        <f>IF(C88=-1,0,IF(C88&lt;=3,词条!C17,词条!D17))</f>
        <v>15</v>
      </c>
      <c r="F88" s="8">
        <f>IF(C88=-1,0,INT(C90+D90*路线!B14+E88*路线!B31+E90))</f>
        <v>124</v>
      </c>
      <c r="G88" s="5">
        <f>IF(C88=-1,0,INT(C90+D90*路线!B17+E88*路线!B31+E90))</f>
        <v>118</v>
      </c>
      <c r="H88" s="6">
        <f>IF(C88=-1,0,INT(C90+D90*路线!B20+E88*路线!B31+E90))</f>
        <v>100</v>
      </c>
      <c r="K88" s="100"/>
      <c r="L88" s="100"/>
      <c r="M88" s="7">
        <v>4</v>
      </c>
      <c r="O88">
        <f>IF(M88=-1,0,IF(M88&lt;=3,词条!C16,词条!D16))</f>
        <v>7</v>
      </c>
      <c r="P88" s="8">
        <f>IF(M88=-1,0,INT((M90/100)*路线!B11+N90*路线!B15+O88*路线!B30+O90))</f>
        <v>233</v>
      </c>
      <c r="Q88" s="5">
        <f>IF(M88=-1,0,INT((M90/100)*路线!B12+N90*路线!B18+O88*路线!B30+O90))</f>
        <v>197</v>
      </c>
      <c r="R88" s="6">
        <f>IF(M88=-1,0,INT((M90/100)*路线!B13+N90*路线!B21+O88*路线!B30+O90))</f>
        <v>110</v>
      </c>
      <c r="U88" s="100"/>
      <c r="V88" s="100"/>
      <c r="W88" s="7">
        <v>4</v>
      </c>
      <c r="Y88">
        <f>IF(W88=-1,0,IF(W88&lt;=3,词条!C18,词条!D18))</f>
        <v>11</v>
      </c>
      <c r="Z88" s="8">
        <f>IF(W88=-1,0,INT(W90+X90*路线!B24+Y88*路线!B33+Y90))</f>
        <v>180</v>
      </c>
      <c r="AA88" s="9">
        <f>IF(W88=-1,0,INT(W90+X90*路线!B24+Y88*路线!B33+Y90))</f>
        <v>180</v>
      </c>
      <c r="AB88" s="6">
        <f>IF(W88=-1,0,INT(W90+X90*路线!B24+Y88*路线!B33+Y90))</f>
        <v>180</v>
      </c>
      <c r="AC88" s="1"/>
      <c r="AD88" s="1"/>
      <c r="AE88" s="1"/>
      <c r="AF88" s="1"/>
      <c r="AN88" s="1"/>
      <c r="AO88" s="100"/>
      <c r="AP88" s="100"/>
      <c r="AQ88" s="7">
        <v>4</v>
      </c>
      <c r="AT88" s="5">
        <f>IF(AQ88=-1,0,INT(AQ90+AR90*路线!B33+AS90))</f>
        <v>107</v>
      </c>
      <c r="AU88" s="5">
        <f>IF(AQ88=-1,0,INT(AQ90+AR90*路线!B33+AS90))</f>
        <v>107</v>
      </c>
      <c r="AV88" s="9">
        <f>IF(AQ88=-1,0,INT(AQ90+AR90*路线!B33+AS90))</f>
        <v>107</v>
      </c>
      <c r="AW88" s="1"/>
      <c r="AX88" s="1"/>
      <c r="AY88" s="100"/>
      <c r="AZ88" s="100"/>
      <c r="BA88" s="7">
        <v>4</v>
      </c>
      <c r="BC88">
        <f>IF(BA88=-1,0,IF(BA88&lt;=3,词条!I7,词条!J7))</f>
        <v>13</v>
      </c>
      <c r="BD88" s="5">
        <f>IF(BA88=-1,0,INT(BA90+BB90+BC88*路线!B15+BC90))</f>
        <v>144</v>
      </c>
      <c r="BE88" s="5">
        <f>IF(BA88=-1,0,INT(BA90+BB90+BC88*路线!B18+BC90))</f>
        <v>131</v>
      </c>
      <c r="BF88" s="9">
        <f>IF(BA88=-1,0,INT(BA90+BB90+BC88*路线!B21+BC90))</f>
        <v>92</v>
      </c>
      <c r="BG88" s="1"/>
      <c r="BH88" s="1"/>
    </row>
    <row r="89" spans="1:60" ht="16" customHeight="1" x14ac:dyDescent="0.3">
      <c r="A89" s="100"/>
      <c r="B89" s="100"/>
      <c r="C89" t="s">
        <v>15</v>
      </c>
      <c r="D89" t="s">
        <v>13</v>
      </c>
      <c r="E89" t="s">
        <v>16</v>
      </c>
      <c r="F89" s="104" t="s">
        <v>37</v>
      </c>
      <c r="G89" s="100"/>
      <c r="H89" s="100"/>
      <c r="K89" s="100"/>
      <c r="L89" s="100"/>
      <c r="M89" t="s">
        <v>17</v>
      </c>
      <c r="N89" t="s">
        <v>36</v>
      </c>
      <c r="O89" t="s">
        <v>16</v>
      </c>
      <c r="P89" s="101"/>
      <c r="Q89" s="100"/>
      <c r="R89" s="100"/>
      <c r="U89" s="100"/>
      <c r="V89" s="100"/>
      <c r="W89" t="s">
        <v>15</v>
      </c>
      <c r="X89" t="s">
        <v>18</v>
      </c>
      <c r="Y89" t="s">
        <v>16</v>
      </c>
      <c r="Z89" s="104" t="s">
        <v>37</v>
      </c>
      <c r="AA89" s="100"/>
      <c r="AB89" s="100"/>
      <c r="AC89" s="1"/>
      <c r="AD89" s="1"/>
      <c r="AE89" s="1"/>
      <c r="AF89" s="1"/>
      <c r="AN89" s="1"/>
      <c r="AO89" s="100"/>
      <c r="AP89" s="100"/>
      <c r="AQ89" t="s">
        <v>15</v>
      </c>
      <c r="AR89" t="s">
        <v>20</v>
      </c>
      <c r="AS89" t="s">
        <v>16</v>
      </c>
      <c r="AT89" s="104" t="s">
        <v>37</v>
      </c>
      <c r="AU89" s="100"/>
      <c r="AV89" s="100"/>
      <c r="AW89" s="1"/>
      <c r="AX89" s="1"/>
      <c r="AY89" s="100"/>
      <c r="AZ89" s="100"/>
      <c r="BA89" t="s">
        <v>15</v>
      </c>
      <c r="BB89" t="s">
        <v>39</v>
      </c>
      <c r="BC89" t="s">
        <v>16</v>
      </c>
      <c r="BD89" s="104" t="s">
        <v>37</v>
      </c>
      <c r="BE89" s="100"/>
      <c r="BF89" s="100"/>
      <c r="BG89" s="1"/>
      <c r="BH89" s="1"/>
    </row>
    <row r="90" spans="1:60" ht="16" customHeight="1" x14ac:dyDescent="0.3">
      <c r="A90" s="100"/>
      <c r="B90" s="100"/>
      <c r="C90">
        <f>IF(C88=-1,0,INDEX(词条!C3:G3,C88+1))</f>
        <v>60</v>
      </c>
      <c r="D90">
        <f>IF(C88=-1,0,IF(C88&lt;=2,词条!C6,词条!D6))</f>
        <v>6</v>
      </c>
      <c r="E90">
        <f>IF(C88=-1,0,CHOOSE(C88+1,词条!C2,词条!D2,词条!D2,词条!D2,词条!E2))</f>
        <v>40</v>
      </c>
      <c r="F90" s="105" t="s">
        <v>40</v>
      </c>
      <c r="G90" s="100"/>
      <c r="H90" s="100"/>
      <c r="K90" s="100"/>
      <c r="L90" s="100"/>
      <c r="M90">
        <f>IF(M88=-1,0,INDEX(词条!C4:G4,M88+1))</f>
        <v>8.5</v>
      </c>
      <c r="N90">
        <f>IF(M88=-1,0,IF(M88&lt;=2,词条!C7,词条!D7))</f>
        <v>17</v>
      </c>
      <c r="O90">
        <f>IF(M88=-1,0,CHOOSE(M88+1,词条!C2,词条!D2,词条!D2,词条!D2,词条!E2))</f>
        <v>40</v>
      </c>
      <c r="P90" s="102" t="s">
        <v>22</v>
      </c>
      <c r="Q90" s="100"/>
      <c r="R90" s="100"/>
      <c r="U90" s="100"/>
      <c r="V90" s="100"/>
      <c r="W90">
        <f>IF(W88=-1,0,INDEX(词条!C3:G3,W88+1))</f>
        <v>60</v>
      </c>
      <c r="X90">
        <f>IF(W88=-1,0,IF(W88&lt;=2,词条!C13,词条!D13))</f>
        <v>3</v>
      </c>
      <c r="Y90">
        <f>IF(W88=-1,0,CHOOSE(W88+1,词条!C2,词条!D2,词条!D2,词条!D2,词条!E2))</f>
        <v>40</v>
      </c>
      <c r="Z90" s="105" t="s">
        <v>40</v>
      </c>
      <c r="AA90" s="100"/>
      <c r="AB90" s="100"/>
      <c r="AC90" s="1"/>
      <c r="AD90" s="1"/>
      <c r="AE90" s="1"/>
      <c r="AF90" s="1"/>
      <c r="AN90" s="1"/>
      <c r="AO90" s="100"/>
      <c r="AP90" s="100"/>
      <c r="AQ90">
        <f>IF(AQ88=-1,0,INDEX(词条!I3:M3,AQ88+1))</f>
        <v>45</v>
      </c>
      <c r="AR90">
        <f>IF(AQ88=-1,0,IF(AQ88&lt;=2,词条!I18,词条!J18))</f>
        <v>8</v>
      </c>
      <c r="AS90">
        <f>IF(AQ88=-1,0,CHOOSE(AQ88+1,词条!I2,词条!I2,词条!J2,词条!J2,词条!K2))</f>
        <v>30</v>
      </c>
      <c r="AT90" s="102" t="s">
        <v>22</v>
      </c>
      <c r="AU90" s="100"/>
      <c r="AV90" s="100"/>
      <c r="AW90" s="1"/>
      <c r="AX90" s="1"/>
      <c r="AY90" s="100"/>
      <c r="AZ90" s="100"/>
      <c r="BA90">
        <f>IF(BA88=-1,0,INDEX(词条!I3:M3,BA88+1))</f>
        <v>45</v>
      </c>
      <c r="BB90">
        <f>IF(BA88=-1,0,IF(BA88&lt;=2,词条!I19,词条!J19))</f>
        <v>17</v>
      </c>
      <c r="BC90">
        <f>IF(BA88=-1,0,CHOOSE(BA88+1,词条!I2,词条!I2,词条!J2,词条!J2,词条!K2))</f>
        <v>30</v>
      </c>
      <c r="BD90" s="107" t="s">
        <v>105</v>
      </c>
      <c r="BE90" s="100"/>
      <c r="BF90" s="100"/>
      <c r="BG90" s="1"/>
      <c r="BH90" s="1"/>
    </row>
    <row r="91" spans="1:60" ht="16" customHeight="1" x14ac:dyDescent="0.3">
      <c r="A91" s="1"/>
      <c r="B91" s="1"/>
      <c r="C91" s="1"/>
      <c r="D91" s="1"/>
      <c r="E91" s="1"/>
      <c r="F91" s="1"/>
      <c r="G91" s="1"/>
      <c r="H91" s="1"/>
      <c r="I91" s="1"/>
      <c r="J91" s="1"/>
      <c r="K91" s="1"/>
      <c r="L91" s="1"/>
      <c r="M91" s="1"/>
      <c r="N91" s="1"/>
      <c r="O91" s="1"/>
      <c r="P91" s="1"/>
      <c r="Q91" s="1"/>
      <c r="R91" s="1"/>
      <c r="S91" s="1"/>
      <c r="T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6" customHeight="1" x14ac:dyDescent="0.3">
      <c r="A92" s="103" t="s">
        <v>125</v>
      </c>
      <c r="B92" s="100"/>
      <c r="C92" s="100"/>
      <c r="D92" s="100"/>
      <c r="E92" s="100"/>
      <c r="F92" s="100"/>
      <c r="G92" s="100"/>
      <c r="H92" s="1"/>
      <c r="K92" s="100" t="s">
        <v>126</v>
      </c>
      <c r="L92" s="100"/>
      <c r="M92" s="100"/>
      <c r="N92" s="100"/>
      <c r="O92" s="100"/>
      <c r="P92" s="100"/>
      <c r="Q92" s="100"/>
      <c r="U92" s="103" t="s">
        <v>127</v>
      </c>
      <c r="V92" s="100"/>
      <c r="W92" s="100"/>
      <c r="X92" s="100"/>
      <c r="Y92" s="100"/>
      <c r="Z92" s="100"/>
      <c r="AA92" s="100"/>
      <c r="AB92" s="1"/>
      <c r="AC92" s="1"/>
      <c r="AD92" s="1"/>
      <c r="AE92" s="1"/>
      <c r="AF92" s="1"/>
      <c r="AG92" s="1"/>
      <c r="AH92" s="1"/>
      <c r="AI92" s="1"/>
      <c r="AJ92" s="1"/>
      <c r="AK92" s="1"/>
      <c r="AL92" s="1"/>
      <c r="AM92" s="1"/>
      <c r="AN92" s="1"/>
      <c r="AO92" s="99" t="s">
        <v>128</v>
      </c>
      <c r="AP92" s="100"/>
      <c r="AQ92" s="100"/>
      <c r="AR92" s="100"/>
      <c r="AS92" s="100"/>
      <c r="AT92" s="100"/>
      <c r="AU92" s="100"/>
      <c r="AV92" s="1"/>
      <c r="AW92" s="1"/>
      <c r="AX92" s="1"/>
      <c r="AY92" s="111" t="s">
        <v>129</v>
      </c>
      <c r="AZ92" s="111"/>
      <c r="BA92" s="111"/>
      <c r="BB92" s="111"/>
      <c r="BC92" s="111"/>
      <c r="BD92" s="111"/>
      <c r="BE92" s="111"/>
      <c r="BF92" s="3"/>
      <c r="BG92" s="1"/>
      <c r="BH92" s="1"/>
    </row>
    <row r="93" spans="1:60" ht="63" customHeight="1" x14ac:dyDescent="0.3">
      <c r="A93" s="101"/>
      <c r="B93" s="100"/>
      <c r="C93" t="s">
        <v>7</v>
      </c>
      <c r="E93" t="s">
        <v>36</v>
      </c>
      <c r="F93" s="8" t="s">
        <v>9</v>
      </c>
      <c r="G93" s="5" t="s">
        <v>10</v>
      </c>
      <c r="H93" s="6" t="s">
        <v>11</v>
      </c>
      <c r="K93" s="101"/>
      <c r="L93" s="100"/>
      <c r="M93" t="s">
        <v>7</v>
      </c>
      <c r="O93" t="s">
        <v>38</v>
      </c>
      <c r="P93" s="8" t="s">
        <v>9</v>
      </c>
      <c r="Q93" s="5" t="s">
        <v>10</v>
      </c>
      <c r="R93" s="6" t="s">
        <v>11</v>
      </c>
      <c r="U93" s="101"/>
      <c r="V93" s="100"/>
      <c r="W93" t="s">
        <v>7</v>
      </c>
      <c r="X93" t="s">
        <v>84</v>
      </c>
      <c r="Y93" t="s">
        <v>36</v>
      </c>
      <c r="Z93" s="8" t="s">
        <v>9</v>
      </c>
      <c r="AA93" s="9" t="s">
        <v>10</v>
      </c>
      <c r="AB93" s="6" t="s">
        <v>11</v>
      </c>
      <c r="AC93" s="1"/>
      <c r="AD93" s="1"/>
      <c r="AE93" s="1"/>
      <c r="AF93" s="1"/>
      <c r="AG93" s="1"/>
      <c r="AH93" s="1"/>
      <c r="AN93" s="1"/>
      <c r="AO93" s="99"/>
      <c r="AP93" s="100"/>
      <c r="AQ93" t="s">
        <v>7</v>
      </c>
      <c r="AR93" t="s">
        <v>38</v>
      </c>
      <c r="AS93" t="s">
        <v>8</v>
      </c>
      <c r="AT93" s="8" t="s">
        <v>9</v>
      </c>
      <c r="AU93" s="9" t="s">
        <v>10</v>
      </c>
      <c r="AV93" s="6" t="s">
        <v>11</v>
      </c>
      <c r="AW93" s="1"/>
      <c r="AX93" s="1"/>
      <c r="AY93" s="108"/>
      <c r="AZ93" s="108"/>
      <c r="BA93" s="4" t="s">
        <v>7</v>
      </c>
      <c r="BB93" s="4"/>
      <c r="BC93" s="4" t="s">
        <v>36</v>
      </c>
      <c r="BD93" s="13" t="s">
        <v>9</v>
      </c>
      <c r="BE93" s="15" t="s">
        <v>10</v>
      </c>
      <c r="BF93" s="13" t="s">
        <v>11</v>
      </c>
      <c r="BG93" s="1"/>
      <c r="BH93" s="1"/>
    </row>
    <row r="94" spans="1:60" ht="16" customHeight="1" x14ac:dyDescent="0.3">
      <c r="A94" s="100"/>
      <c r="B94" s="100"/>
      <c r="C94" s="7">
        <v>4</v>
      </c>
      <c r="E94">
        <f>IF(C94=-1,0,IF(C94&lt;=3,词条!F7,词条!G7))</f>
        <v>13</v>
      </c>
      <c r="F94" s="8">
        <f>IF(C94=-1,0,IF(路线!C6="计算",INT((C96/100)*路线!B11+D96*路线!B24+E94*路线!B15+E96+20),INT((C96/100)*路线!B11+D96*路线!B24+E94*路线!B15+E96)))</f>
        <v>212</v>
      </c>
      <c r="G94" s="5">
        <f>IF(C94=-1,0,IF(路线!C6="计算",INT((C96/100)*路线!B12+D96*路线!B24+E94*路线!B18+E96+20),INT((C96/100)*路线!B12+D96*路线!B24+E94*路线!B18+E96)))</f>
        <v>180</v>
      </c>
      <c r="H94" s="6">
        <f>IF(C94=-1,0,IF(路线!C6="计算",INT((C96/100)*路线!B13+D96*路线!B24+E94*路线!B21+E96+20),INT((C96/100)*路线!B13+D96*路线!B24+E94*路线!B21+E96)))</f>
        <v>105</v>
      </c>
      <c r="K94" s="100"/>
      <c r="L94" s="100"/>
      <c r="M94" s="7">
        <v>4</v>
      </c>
      <c r="O94">
        <f>IF(M94=-1,0,IF(M94&lt;=3,词条!C10,词条!D11))</f>
        <v>9</v>
      </c>
      <c r="P94" s="8">
        <f>IF(M94=-1,0,INT(M96+N96*路线!B15+O94*路线!B29+O96))</f>
        <v>186</v>
      </c>
      <c r="Q94" s="5">
        <f>IF(M94=-1,0,INT(M96+N96*路线!B18+O94*路线!B29+O96))</f>
        <v>169</v>
      </c>
      <c r="R94" s="6">
        <f>IF(M94=-1,0,INT(M96+N96*路线!B21+O94*路线!B29+O96))</f>
        <v>118</v>
      </c>
      <c r="U94" s="100"/>
      <c r="V94" s="100"/>
      <c r="W94" s="7">
        <v>4</v>
      </c>
      <c r="X94">
        <f>IF(W94=-1,0,IF(W94&lt;=1,词条!C22,词条!D22))</f>
        <v>11</v>
      </c>
      <c r="Y94">
        <f>IF(W94=-1,0,IF(W94&lt;=3,词条!C7,词条!D7))</f>
        <v>17</v>
      </c>
      <c r="Z94" s="8">
        <f>IF(W94=-1,0,IF(路线!C6="计算",INT((W96/100)*路线!B11+X94*路线!B35+X96*路线!B28+Y94*路线!B15+Y96+20),INT((W96/100)*路线!B11+X94*路线!B35+X96*路线!B28+Y94*路线!B15+Y96)))</f>
        <v>332</v>
      </c>
      <c r="AA94" s="9">
        <f>IF(W94=-1,0,IF(路线!C6="计算",INT((W96/100)*路线!B12+X94*路线!B35+X96*路线!B28+Y94*路线!B18+Y96+20),INT((W96/100)*路线!B12+X94*路线!B35+X96*路线!B28+Y94*路线!B18+Y96)))</f>
        <v>296</v>
      </c>
      <c r="AB94" s="6">
        <f>IF(W94=-1,0,IF(路线!C6="计算",INT((W96/100)*路线!B13+X94*路线!B35+X96*路线!B28+Y94*路线!B21+Y96+20),INT((W96/100)*路线!B13+X94*路线!B35+X96*路线!B28+Y94*路线!B21+Y96)))</f>
        <v>209</v>
      </c>
      <c r="AC94" s="1"/>
      <c r="AD94" s="1"/>
      <c r="AE94" s="1"/>
      <c r="AF94" s="1"/>
      <c r="AG94" s="1"/>
      <c r="AH94" s="1"/>
      <c r="AN94" s="1"/>
      <c r="AO94" s="100"/>
      <c r="AP94" s="100"/>
      <c r="AQ94" s="7">
        <v>4</v>
      </c>
      <c r="AR94">
        <f>IF(AQ94=-1,0,IF(AQ94=0,词条!I10,词条!J10))</f>
        <v>6</v>
      </c>
      <c r="AS94">
        <f>IF(AQ94=-1,0,IF(AQ94&lt;=3,词条!I16,词条!J16))</f>
        <v>5</v>
      </c>
      <c r="AT94" s="5">
        <f>IF(AQ94=-1,0,IF(路线!C6="计算",INT(AQ96+AR94*路线!B29+AR96*路线!B27+AS94*路线!B30+AS96+20),INT(AQ96+AR94*路线!B29+AR96*路线!B27+AS94*路线!B30+AS96)))</f>
        <v>193</v>
      </c>
      <c r="AU94" s="5">
        <f>IF(AQ94=-1,0,IF(路线!C6="计算",INT(AQ96+AR94*路线!B29+AR96*路线!B27+AS94*路线!B30+AS96+20),INT(AQ96+AR94*路线!B29+AR96*路线!B27+AS94*路线!B30+AS96)))</f>
        <v>193</v>
      </c>
      <c r="AV94" s="9">
        <f>IF(AQ94=-1,0,IF(路线!C6="计算",INT(AQ96+AR94*路线!B29+AR96*路线!B27+AS94*路线!B30+AS96+20),INT(AQ96+AR94*路线!B29+AR96*路线!B27+AS94*路线!B30+AS96)))</f>
        <v>193</v>
      </c>
      <c r="AW94" s="1"/>
      <c r="AX94" s="1"/>
      <c r="AY94" s="108"/>
      <c r="AZ94" s="108"/>
      <c r="BA94" s="12">
        <v>4</v>
      </c>
      <c r="BB94" s="4"/>
      <c r="BC94" s="4">
        <f>IF(BA94=-1,0,IF(BA94&lt;=3,词条!I7,词条!J7))</f>
        <v>13</v>
      </c>
      <c r="BD94" s="13">
        <f>IF(BA94=-1,0,INT(BA96+IF(路线!B36&gt;3,3,路线!B36)*BB96+BC94*路线!B15+BC96))</f>
        <v>175</v>
      </c>
      <c r="BE94" s="13">
        <f>IF(BA94=-1,0,INT(BA96+IF(路线!B36&gt;3,3,路线!B36)*BB96+BC94*路线!B18+BC96))</f>
        <v>162</v>
      </c>
      <c r="BF94" s="15">
        <f>IF(BA94=-1,0,INT(BA96+IF(路线!B36&gt;3,3,路线!B36)*BB96+BC94*路线!B21+BC96))</f>
        <v>123</v>
      </c>
      <c r="BG94" s="1"/>
      <c r="BH94" s="1"/>
    </row>
    <row r="95" spans="1:60" ht="16" customHeight="1" x14ac:dyDescent="0.3">
      <c r="A95" s="100"/>
      <c r="B95" s="100"/>
      <c r="C95" t="s">
        <v>17</v>
      </c>
      <c r="D95" t="s">
        <v>18</v>
      </c>
      <c r="E95" t="s">
        <v>16</v>
      </c>
      <c r="F95" s="101"/>
      <c r="G95" s="100"/>
      <c r="H95" s="100"/>
      <c r="K95" s="100"/>
      <c r="L95" s="100"/>
      <c r="M95" t="s">
        <v>15</v>
      </c>
      <c r="N95" t="s">
        <v>36</v>
      </c>
      <c r="O95" t="s">
        <v>16</v>
      </c>
      <c r="P95" s="104" t="s">
        <v>37</v>
      </c>
      <c r="Q95" s="100"/>
      <c r="R95" s="100"/>
      <c r="U95" s="100"/>
      <c r="V95" s="100"/>
      <c r="W95" t="s">
        <v>17</v>
      </c>
      <c r="X95" t="s">
        <v>130</v>
      </c>
      <c r="Y95" t="s">
        <v>16</v>
      </c>
      <c r="Z95" s="101"/>
      <c r="AA95" s="100"/>
      <c r="AB95" s="100"/>
      <c r="AC95" s="1"/>
      <c r="AD95" s="1"/>
      <c r="AE95" s="1"/>
      <c r="AF95" s="1"/>
      <c r="AG95" s="1"/>
      <c r="AH95" s="1"/>
      <c r="AN95" s="1"/>
      <c r="AO95" s="100"/>
      <c r="AP95" s="100"/>
      <c r="AQ95" t="s">
        <v>15</v>
      </c>
      <c r="AR95" s="22" t="s">
        <v>131</v>
      </c>
      <c r="AS95" t="s">
        <v>16</v>
      </c>
      <c r="AT95" s="101"/>
      <c r="AU95" s="100"/>
      <c r="AV95" s="100"/>
      <c r="AW95" s="1"/>
      <c r="AX95" s="1"/>
      <c r="AY95" s="108"/>
      <c r="AZ95" s="108"/>
      <c r="BA95" s="4" t="s">
        <v>15</v>
      </c>
      <c r="BB95" s="4" t="s">
        <v>132</v>
      </c>
      <c r="BC95" s="4" t="s">
        <v>16</v>
      </c>
      <c r="BD95" s="109" t="s">
        <v>37</v>
      </c>
      <c r="BE95" s="109"/>
      <c r="BF95" s="109"/>
      <c r="BG95" s="1"/>
      <c r="BH95" s="1"/>
    </row>
    <row r="96" spans="1:60" ht="16" customHeight="1" x14ac:dyDescent="0.3">
      <c r="A96" s="100"/>
      <c r="B96" s="100"/>
      <c r="C96">
        <f>IF(C94=-1,0,INDEX(词条!C4:G4,C94+1))</f>
        <v>8.5</v>
      </c>
      <c r="D96">
        <f>IF(C94=-1,0,IF(C94&lt;=2,词条!F13,词条!G13))</f>
        <v>2</v>
      </c>
      <c r="E96">
        <f>IF(C94=-1,0,CHOOSE(C94+1,词条!C2,词条!D2,词条!D2,词条!D2,词条!E2))</f>
        <v>40</v>
      </c>
      <c r="F96" s="102" t="s">
        <v>22</v>
      </c>
      <c r="G96" s="100"/>
      <c r="H96" s="100"/>
      <c r="K96" s="100"/>
      <c r="L96" s="100"/>
      <c r="M96">
        <f>IF(M94=-1,0,INDEX(词条!C3:G3,M94+1))</f>
        <v>60</v>
      </c>
      <c r="N96">
        <f>IF(M94=-1,0,IF(M94&lt;=2,词条!C7,词条!D7))</f>
        <v>17</v>
      </c>
      <c r="O96">
        <f>IF(M94=-1,0,CHOOSE(M94+1,词条!C2,词条!D2,词条!D2,词条!D2,词条!E2))</f>
        <v>40</v>
      </c>
      <c r="P96" s="105" t="s">
        <v>40</v>
      </c>
      <c r="Q96" s="100"/>
      <c r="R96" s="100"/>
      <c r="U96" s="100"/>
      <c r="V96" s="100"/>
      <c r="W96">
        <f>IF(W94=-1,0,INDEX(词条!C4:G4,W94+1))</f>
        <v>8.5</v>
      </c>
      <c r="X96">
        <f>IF(W94=-1,0,IF(W94&lt;=2,词条!C11,词条!D11))</f>
        <v>9</v>
      </c>
      <c r="Y96">
        <f>IF(W94=-1,0,CHOOSE(W94+1,词条!C2,词条!D2,词条!D2,词条!D2,词条!E2))</f>
        <v>40</v>
      </c>
      <c r="Z96" s="107" t="s">
        <v>105</v>
      </c>
      <c r="AA96" s="100"/>
      <c r="AB96" s="100"/>
      <c r="AC96" s="1"/>
      <c r="AD96" s="1"/>
      <c r="AE96" s="1"/>
      <c r="AF96" s="1"/>
      <c r="AG96" s="1"/>
      <c r="AH96" s="1"/>
      <c r="AN96" s="1"/>
      <c r="AO96" s="100"/>
      <c r="AP96" s="100"/>
      <c r="AQ96">
        <f>IF(AQ94=-1,0,INDEX(词条!I3:M3,AQ94+1))</f>
        <v>45</v>
      </c>
      <c r="AR96">
        <f>IF(AQ94=-1,0,IF(AQ94&lt;=2,词条!I24,词条!J24))</f>
        <v>3</v>
      </c>
      <c r="AS96">
        <f>IF(AQ94=-1,0,CHOOSE(AQ94+1,词条!I2,词条!I2,词条!J2,词条!J2,词条!K2))</f>
        <v>30</v>
      </c>
      <c r="AT96" s="105" t="s">
        <v>40</v>
      </c>
      <c r="AU96" s="100"/>
      <c r="AV96" s="100"/>
      <c r="AW96" s="1"/>
      <c r="AX96" s="1"/>
      <c r="AY96" s="108"/>
      <c r="AZ96" s="108"/>
      <c r="BA96" s="4">
        <f>IF(BA94=-1,0,INDEX(词条!I3:M3,BA94+1))</f>
        <v>45</v>
      </c>
      <c r="BB96" s="4">
        <f>IF(BA94=-1,0,IF(BA94&lt;=2,词条!L22,词条!M22))</f>
        <v>16</v>
      </c>
      <c r="BC96" s="4">
        <f>IF(BA94=-1,0,CHOOSE(BA94+1,词条!I2,词条!I2,词条!J2,词条!J2,词条!K2))</f>
        <v>30</v>
      </c>
      <c r="BD96" s="112" t="s">
        <v>40</v>
      </c>
      <c r="BE96" s="112"/>
      <c r="BF96" s="112"/>
      <c r="BG96" s="1"/>
      <c r="BH96" s="1"/>
    </row>
    <row r="97" spans="1:60" ht="16"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6" customHeight="1" x14ac:dyDescent="0.3">
      <c r="A98" s="103" t="s">
        <v>133</v>
      </c>
      <c r="B98" s="100"/>
      <c r="C98" s="100"/>
      <c r="D98" s="100"/>
      <c r="E98" s="100"/>
      <c r="F98" s="100"/>
      <c r="G98" s="100"/>
      <c r="H98" s="1"/>
      <c r="K98" s="100" t="s">
        <v>134</v>
      </c>
      <c r="L98" s="100"/>
      <c r="M98" s="100"/>
      <c r="N98" s="100"/>
      <c r="O98" s="100"/>
      <c r="P98" s="100"/>
      <c r="Q98" s="100"/>
      <c r="U98" s="100" t="s">
        <v>135</v>
      </c>
      <c r="V98" s="100"/>
      <c r="W98" s="100"/>
      <c r="X98" s="100"/>
      <c r="Y98" s="100"/>
      <c r="Z98" s="100"/>
      <c r="AA98" s="100"/>
      <c r="AB98" s="1"/>
      <c r="AC98" s="2" t="s">
        <v>5</v>
      </c>
      <c r="AD98" s="1"/>
      <c r="AE98" s="1"/>
      <c r="AF98" s="1"/>
      <c r="AG98" s="1"/>
      <c r="AH98" s="1"/>
      <c r="AI98" s="1"/>
      <c r="AJ98" s="1"/>
      <c r="AK98" s="1"/>
      <c r="AL98" s="1"/>
      <c r="AM98" s="1"/>
      <c r="AN98" s="1"/>
      <c r="AO98" s="99" t="s">
        <v>136</v>
      </c>
      <c r="AP98" s="100"/>
      <c r="AQ98" s="100"/>
      <c r="AR98" s="100"/>
      <c r="AS98" s="100"/>
      <c r="AT98" s="100"/>
      <c r="AU98" s="100"/>
      <c r="AV98" s="1"/>
      <c r="AW98" s="1"/>
      <c r="AX98" s="1"/>
      <c r="AY98" s="1"/>
      <c r="AZ98" s="1"/>
      <c r="BA98" s="1"/>
      <c r="BB98" s="1"/>
      <c r="BC98" s="1"/>
      <c r="BD98" s="1"/>
      <c r="BE98" s="1"/>
      <c r="BF98" s="1"/>
      <c r="BG98" s="1"/>
      <c r="BH98" s="1"/>
    </row>
    <row r="99" spans="1:60" ht="63" customHeight="1" x14ac:dyDescent="0.3">
      <c r="A99" s="101"/>
      <c r="B99" s="100"/>
      <c r="C99" t="s">
        <v>7</v>
      </c>
      <c r="D99" s="22" t="s">
        <v>131</v>
      </c>
      <c r="E99" t="s">
        <v>19</v>
      </c>
      <c r="F99" s="8" t="s">
        <v>9</v>
      </c>
      <c r="G99" s="5" t="s">
        <v>10</v>
      </c>
      <c r="H99" s="6" t="s">
        <v>11</v>
      </c>
      <c r="K99" s="101"/>
      <c r="L99" s="100"/>
      <c r="M99" t="s">
        <v>7</v>
      </c>
      <c r="O99" t="s">
        <v>18</v>
      </c>
      <c r="P99" s="8" t="s">
        <v>9</v>
      </c>
      <c r="Q99" s="5" t="s">
        <v>10</v>
      </c>
      <c r="R99" s="6" t="s">
        <v>11</v>
      </c>
      <c r="U99" s="101"/>
      <c r="V99" s="100"/>
      <c r="W99" t="s">
        <v>7</v>
      </c>
      <c r="Y99" t="s">
        <v>137</v>
      </c>
      <c r="Z99" s="8" t="s">
        <v>9</v>
      </c>
      <c r="AA99" s="9" t="s">
        <v>10</v>
      </c>
      <c r="AB99" s="6" t="s">
        <v>11</v>
      </c>
      <c r="AC99" s="2">
        <f>IF(W100=-1,0,路线!B31-1)</f>
        <v>-1</v>
      </c>
      <c r="AD99" s="1"/>
      <c r="AE99" s="1"/>
      <c r="AF99" s="1"/>
      <c r="AG99" s="1"/>
      <c r="AH99" s="1"/>
      <c r="AN99" s="1"/>
      <c r="AO99" s="99"/>
      <c r="AP99" s="100"/>
      <c r="AQ99" t="s">
        <v>7</v>
      </c>
      <c r="AR99" t="s">
        <v>19</v>
      </c>
      <c r="AS99" t="s">
        <v>36</v>
      </c>
      <c r="AT99" s="8" t="s">
        <v>9</v>
      </c>
      <c r="AU99" s="9" t="s">
        <v>10</v>
      </c>
      <c r="AV99" s="6" t="s">
        <v>11</v>
      </c>
      <c r="AW99" s="1"/>
      <c r="AX99" s="1"/>
      <c r="AY99" s="1"/>
      <c r="AZ99" s="1"/>
      <c r="BA99" s="1"/>
      <c r="BB99" s="1"/>
      <c r="BC99" s="1"/>
      <c r="BD99" s="1"/>
      <c r="BE99" s="1"/>
      <c r="BF99" s="1"/>
      <c r="BG99" s="1"/>
      <c r="BH99" s="1"/>
    </row>
    <row r="100" spans="1:60" ht="16" customHeight="1" x14ac:dyDescent="0.3">
      <c r="A100" s="100"/>
      <c r="B100" s="100"/>
      <c r="C100" s="7">
        <v>4</v>
      </c>
      <c r="D100">
        <f>IF(C100=-1,0,IF(C100&lt;=1,词条!C24,词条!D24))</f>
        <v>4</v>
      </c>
      <c r="E100">
        <f>IF(C100=-1,0,IF(C100&lt;=3,词条!C17,词条!D17))</f>
        <v>15</v>
      </c>
      <c r="F100" s="8">
        <f>IF(C100=-1,0,INT(C102+D100*路线!B27+D102*路线!B15+E100*路线!B31+E102))</f>
        <v>236</v>
      </c>
      <c r="G100" s="5">
        <f>IF(C100=-1,0,INT(C102+D100*路线!B27+D102*路线!B18+E100*路线!B31+E102))</f>
        <v>219</v>
      </c>
      <c r="H100" s="6">
        <f>IF(C100=-1,0,INT(C102+D100*路线!B27+D102*路线!B21+E100*路线!B31+E102))</f>
        <v>168</v>
      </c>
      <c r="K100" s="100"/>
      <c r="L100" s="100"/>
      <c r="M100" s="7">
        <v>4</v>
      </c>
      <c r="O100">
        <f>IF(M100=-1,0,IF(M100&lt;=3,词条!C13,词条!D13))</f>
        <v>3</v>
      </c>
      <c r="P100" s="8">
        <f>IF(M100=-1,0,INT(M102+N102*路线!B15+O100*路线!B24+O102))</f>
        <v>204</v>
      </c>
      <c r="Q100" s="5">
        <f>IF(M100=-1,0,INT(M102+N102*路线!B18+O100*路线!B24+O102))</f>
        <v>187</v>
      </c>
      <c r="R100" s="6">
        <f>IF(M100=-1,0,INT(M102+N102*路线!B21+O100*路线!B24+O102))</f>
        <v>136</v>
      </c>
      <c r="U100" s="100"/>
      <c r="V100" s="100"/>
      <c r="W100" s="7">
        <v>4</v>
      </c>
      <c r="Y100">
        <f>IF(W100=-1,0,IF(W100&lt;=3,词条!C23,词条!D23))</f>
        <v>4</v>
      </c>
      <c r="Z100" s="8">
        <f>IF(W100=-1,0,INT(W102+X102*路线!B14+Y100*路线!B26+Y102))</f>
        <v>192</v>
      </c>
      <c r="AA100" s="9">
        <f>IF(W100=-1,0,INT(W102+X102*路线!B17+Y100*路线!B26+Y102))</f>
        <v>186</v>
      </c>
      <c r="AB100" s="6">
        <f>IF(W100=-1,0,INT(W102+X102*路线!B20+Y100*路线!B26+Y102))</f>
        <v>168</v>
      </c>
      <c r="AC100" s="2">
        <f>Z100+AC99</f>
        <v>191</v>
      </c>
      <c r="AD100" s="1"/>
      <c r="AE100" s="1"/>
      <c r="AF100" s="1"/>
      <c r="AG100" s="1"/>
      <c r="AH100" s="1"/>
      <c r="AN100" s="1"/>
      <c r="AO100" s="100"/>
      <c r="AP100" s="100"/>
      <c r="AQ100" s="7">
        <v>4</v>
      </c>
      <c r="AR100">
        <f>IF(AQ100=-1,0,IF(AQ100=0,词条!I17,词条!J17))</f>
        <v>10</v>
      </c>
      <c r="AS100">
        <f>IF(AQ100=-1,0,IF(AQ100&lt;=3,词条!I7,词条!J7))</f>
        <v>13</v>
      </c>
      <c r="AT100" s="5">
        <f>IF(AQ100=-1,0,INT(AQ102+AR100*路线!B31+AR102*路线!B29+AS100*路线!B15+AS102))</f>
        <v>139</v>
      </c>
      <c r="AU100" s="5">
        <f>IF(AQ100=-1,0,INT(AQ102+AR100*路线!B31+AR102*路线!B29+AS100*路线!B18+AS102))</f>
        <v>126</v>
      </c>
      <c r="AV100" s="9">
        <f>IF(AQ100=-1,0,INT(AQ102+AR100*路线!B31+AR102*路线!B29+AS100*路线!B21+AS102))</f>
        <v>87</v>
      </c>
      <c r="AW100" s="1"/>
      <c r="AX100" s="1"/>
      <c r="AY100" s="1"/>
      <c r="AZ100" s="1"/>
      <c r="BA100" s="1"/>
      <c r="BB100" s="1"/>
      <c r="BC100" s="1"/>
      <c r="BD100" s="1"/>
      <c r="BE100" s="1"/>
      <c r="BF100" s="1"/>
      <c r="BG100" s="1"/>
      <c r="BH100" s="1"/>
    </row>
    <row r="101" spans="1:60" ht="16" customHeight="1" x14ac:dyDescent="0.3">
      <c r="A101" s="100"/>
      <c r="B101" s="100"/>
      <c r="C101" t="s">
        <v>15</v>
      </c>
      <c r="D101" t="s">
        <v>36</v>
      </c>
      <c r="E101" t="s">
        <v>16</v>
      </c>
      <c r="F101" s="101"/>
      <c r="G101" s="100"/>
      <c r="H101" s="100"/>
      <c r="K101" s="100"/>
      <c r="L101" s="100"/>
      <c r="M101" t="s">
        <v>15</v>
      </c>
      <c r="N101" t="s">
        <v>36</v>
      </c>
      <c r="O101" t="s">
        <v>16</v>
      </c>
      <c r="P101" s="104" t="s">
        <v>37</v>
      </c>
      <c r="Q101" s="100"/>
      <c r="R101" s="100"/>
      <c r="U101" s="100"/>
      <c r="V101" s="100"/>
      <c r="W101" t="s">
        <v>15</v>
      </c>
      <c r="X101" t="s">
        <v>13</v>
      </c>
      <c r="Y101" t="s">
        <v>16</v>
      </c>
      <c r="Z101" s="104" t="s">
        <v>37</v>
      </c>
      <c r="AA101" s="100"/>
      <c r="AB101" s="100"/>
      <c r="AC101" s="2">
        <f>AA100+AC99</f>
        <v>185</v>
      </c>
      <c r="AD101" s="1"/>
      <c r="AE101" s="1"/>
      <c r="AF101" s="1"/>
      <c r="AG101" s="1"/>
      <c r="AH101" s="1"/>
      <c r="AN101" s="1"/>
      <c r="AO101" s="100"/>
      <c r="AP101" s="100"/>
      <c r="AQ101" t="s">
        <v>15</v>
      </c>
      <c r="AR101" t="s">
        <v>38</v>
      </c>
      <c r="AS101" t="s">
        <v>16</v>
      </c>
      <c r="AT101" s="101"/>
      <c r="AU101" s="100"/>
      <c r="AV101" s="100"/>
      <c r="AW101" s="1"/>
      <c r="AX101" s="1"/>
      <c r="AY101" s="1"/>
      <c r="AZ101" s="1"/>
      <c r="BA101" s="1"/>
      <c r="BB101" s="1"/>
      <c r="BC101" s="1"/>
      <c r="BD101" s="1"/>
      <c r="BE101" s="1"/>
      <c r="BF101" s="1"/>
      <c r="BG101" s="1"/>
      <c r="BH101" s="1"/>
    </row>
    <row r="102" spans="1:60" ht="16" customHeight="1" x14ac:dyDescent="0.3">
      <c r="A102" s="100"/>
      <c r="B102" s="100"/>
      <c r="C102">
        <f>IF(C100=-1,0,INDEX(词条!C3:G3,C100+1))</f>
        <v>60</v>
      </c>
      <c r="D102">
        <f>IF(C100=-1,0,IF(C100&lt;=2,词条!C7,词条!D7))</f>
        <v>17</v>
      </c>
      <c r="E102">
        <f>IF(C100=-1,0,CHOOSE(C100+1,词条!C2,词条!D2,词条!D2,词条!D2,词条!E2))</f>
        <v>40</v>
      </c>
      <c r="F102" s="105" t="s">
        <v>40</v>
      </c>
      <c r="G102" s="100"/>
      <c r="H102" s="100"/>
      <c r="K102" s="100"/>
      <c r="L102" s="100"/>
      <c r="M102">
        <f>IF(M100=-1,0,INDEX(词条!C3:G3,M100+1))</f>
        <v>60</v>
      </c>
      <c r="N102">
        <f>IF(M100=-1,0,IF(M100&lt;=2,词条!C7,词条!D7))</f>
        <v>17</v>
      </c>
      <c r="O102">
        <f>IF(M100=-1,0,CHOOSE(M100+1,词条!C2,词条!D2,词条!D2,词条!D2,词条!E2))</f>
        <v>40</v>
      </c>
      <c r="P102" s="102" t="s">
        <v>22</v>
      </c>
      <c r="Q102" s="100"/>
      <c r="R102" s="100"/>
      <c r="U102" s="100"/>
      <c r="V102" s="100"/>
      <c r="W102">
        <f>IF(W100=-1,0,INDEX(词条!C3:G3,W100+1))</f>
        <v>60</v>
      </c>
      <c r="X102">
        <f>IF(W100=-1,0,IF(W100&lt;=2,词条!C6,词条!D6))</f>
        <v>6</v>
      </c>
      <c r="Y102">
        <f>IF(W100=-1,0,CHOOSE(W100+1,词条!C2,词条!D2,词条!D2,词条!D2,词条!E2))</f>
        <v>40</v>
      </c>
      <c r="Z102" s="107" t="s">
        <v>105</v>
      </c>
      <c r="AA102" s="100"/>
      <c r="AB102" s="100"/>
      <c r="AC102" s="2">
        <f>AB100+AC99</f>
        <v>167</v>
      </c>
      <c r="AD102" s="1"/>
      <c r="AE102" s="1"/>
      <c r="AF102" s="1"/>
      <c r="AG102" s="1"/>
      <c r="AH102" s="1"/>
      <c r="AN102" s="1"/>
      <c r="AO102" s="100"/>
      <c r="AP102" s="100"/>
      <c r="AQ102">
        <f>IF(AQ100=-1,0,INDEX(词条!I3:M3,AQ100+1))</f>
        <v>45</v>
      </c>
      <c r="AR102">
        <f>IF(AQ100=-1,0,IF(AQ100&lt;=2,词条!I10,词条!J10))</f>
        <v>6</v>
      </c>
      <c r="AS102">
        <f>IF(AQ100=-1,0,CHOOSE(AQ100+1,词条!I2,词条!I2,词条!J2,词条!J2,词条!K2))</f>
        <v>30</v>
      </c>
      <c r="AT102" s="106" t="s">
        <v>54</v>
      </c>
      <c r="AU102" s="100"/>
      <c r="AV102" s="100"/>
      <c r="AW102" s="1"/>
      <c r="AX102" s="1"/>
      <c r="AY102" s="1"/>
      <c r="AZ102" s="1"/>
      <c r="BA102" s="1"/>
      <c r="BB102" s="1"/>
      <c r="BC102" s="1"/>
      <c r="BD102" s="1"/>
      <c r="BE102" s="1"/>
      <c r="BF102" s="1"/>
      <c r="BG102" s="1"/>
      <c r="BH102" s="1"/>
    </row>
    <row r="103" spans="1:60" ht="16"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6" customHeight="1" x14ac:dyDescent="0.3">
      <c r="A104" s="103" t="s">
        <v>138</v>
      </c>
      <c r="B104" s="103"/>
      <c r="C104" s="103"/>
      <c r="D104" s="103"/>
      <c r="E104" s="103"/>
      <c r="F104" s="103"/>
      <c r="G104" s="103"/>
      <c r="H104" s="3"/>
      <c r="K104" s="100" t="s">
        <v>139</v>
      </c>
      <c r="L104" s="100"/>
      <c r="M104" s="100"/>
      <c r="N104" s="100"/>
      <c r="O104" s="100"/>
      <c r="P104" s="100"/>
      <c r="Q104" s="100"/>
      <c r="U104" s="100" t="s">
        <v>140</v>
      </c>
      <c r="V104" s="100"/>
      <c r="W104" s="100"/>
      <c r="X104" s="100"/>
      <c r="Y104" s="100"/>
      <c r="Z104" s="100"/>
      <c r="AA104" s="100"/>
      <c r="AB104" s="1"/>
      <c r="AC104" s="1"/>
      <c r="AD104" s="1"/>
      <c r="AE104" s="1"/>
      <c r="AF104" s="1"/>
      <c r="AG104" s="1"/>
      <c r="AH104" s="1"/>
      <c r="AI104" s="1"/>
      <c r="AJ104" s="1"/>
      <c r="AK104" s="1"/>
      <c r="AL104" s="1"/>
      <c r="AM104" s="1"/>
      <c r="AN104" s="1"/>
      <c r="AO104" s="99" t="s">
        <v>141</v>
      </c>
      <c r="AP104" s="100"/>
      <c r="AQ104" s="100"/>
      <c r="AR104" s="100"/>
      <c r="AS104" s="100"/>
      <c r="AT104" s="100"/>
      <c r="AU104" s="100"/>
      <c r="AV104" s="1"/>
      <c r="AW104" s="2" t="s">
        <v>5</v>
      </c>
      <c r="AX104" s="17" t="s">
        <v>142</v>
      </c>
      <c r="AY104" s="1"/>
      <c r="AZ104" s="1"/>
      <c r="BA104" s="1"/>
      <c r="BB104" s="1"/>
      <c r="BC104" s="1"/>
      <c r="BD104" s="1"/>
      <c r="BE104" s="1"/>
      <c r="BF104" s="1"/>
      <c r="BG104" s="1"/>
      <c r="BH104" s="1"/>
    </row>
    <row r="105" spans="1:60" ht="63" customHeight="1" x14ac:dyDescent="0.3">
      <c r="A105" s="108"/>
      <c r="B105" s="108"/>
      <c r="C105" s="4" t="s">
        <v>7</v>
      </c>
      <c r="D105" s="24"/>
      <c r="E105" s="4" t="s">
        <v>8</v>
      </c>
      <c r="F105" s="11" t="s">
        <v>9</v>
      </c>
      <c r="G105" s="13" t="s">
        <v>10</v>
      </c>
      <c r="H105" s="14" t="s">
        <v>11</v>
      </c>
      <c r="K105" s="101"/>
      <c r="L105" s="100"/>
      <c r="M105" t="s">
        <v>7</v>
      </c>
      <c r="N105" t="s">
        <v>84</v>
      </c>
      <c r="O105" t="s">
        <v>8</v>
      </c>
      <c r="P105" s="8" t="s">
        <v>9</v>
      </c>
      <c r="Q105" s="5" t="s">
        <v>10</v>
      </c>
      <c r="R105" s="6" t="s">
        <v>11</v>
      </c>
      <c r="U105" s="101"/>
      <c r="V105" s="100"/>
      <c r="W105" t="s">
        <v>7</v>
      </c>
      <c r="Y105" t="s">
        <v>132</v>
      </c>
      <c r="Z105" s="8" t="s">
        <v>9</v>
      </c>
      <c r="AA105" s="9" t="s">
        <v>10</v>
      </c>
      <c r="AB105" s="6" t="s">
        <v>11</v>
      </c>
      <c r="AC105" s="1"/>
      <c r="AD105" s="1"/>
      <c r="AE105" s="1"/>
      <c r="AF105" s="1"/>
      <c r="AG105" s="1"/>
      <c r="AH105" s="1"/>
      <c r="AI105" s="1"/>
      <c r="AJ105" s="1"/>
      <c r="AK105" s="1"/>
      <c r="AL105" s="1"/>
      <c r="AM105" s="1"/>
      <c r="AN105" s="1"/>
      <c r="AO105" s="99"/>
      <c r="AP105" s="100"/>
      <c r="AQ105" t="s">
        <v>7</v>
      </c>
      <c r="AS105" t="s">
        <v>36</v>
      </c>
      <c r="AT105" s="8" t="s">
        <v>9</v>
      </c>
      <c r="AU105" s="9" t="s">
        <v>10</v>
      </c>
      <c r="AV105" s="6" t="s">
        <v>11</v>
      </c>
      <c r="AW105" s="16">
        <f>AX105*6</f>
        <v>60</v>
      </c>
      <c r="AX105" s="17">
        <v>10</v>
      </c>
      <c r="AY105" s="1"/>
      <c r="AZ105" s="1"/>
      <c r="BA105" s="1"/>
      <c r="BB105" s="1"/>
      <c r="BC105" s="1"/>
      <c r="BD105" s="1"/>
      <c r="BE105" s="1"/>
      <c r="BF105" s="1"/>
      <c r="BG105" s="1"/>
      <c r="BH105" s="1"/>
    </row>
    <row r="106" spans="1:60" ht="16" customHeight="1" x14ac:dyDescent="0.3">
      <c r="A106" s="108"/>
      <c r="B106" s="108"/>
      <c r="C106" s="12">
        <v>0</v>
      </c>
      <c r="D106" s="4"/>
      <c r="E106" s="4">
        <f>IF(C106=-1,0,IF(C106&lt;=3,词条!F16,词条!G16))</f>
        <v>4</v>
      </c>
      <c r="F106" s="11">
        <f>INT(C108+D108*路线!B28+E106*路线!B30+E108)</f>
        <v>116</v>
      </c>
      <c r="G106" s="13">
        <f>INT(C108+D108*路线!B28+E106*路线!B30+E108)</f>
        <v>116</v>
      </c>
      <c r="H106" s="14">
        <f>INT(C108+D108*路线!B28+E106*路线!B30+E108)</f>
        <v>116</v>
      </c>
      <c r="K106" s="100"/>
      <c r="L106" s="100"/>
      <c r="M106" s="7">
        <v>4</v>
      </c>
      <c r="N106">
        <f>IF(M106=-1,0,IF(M106&lt;=1,词条!C22,词条!D22))</f>
        <v>11</v>
      </c>
      <c r="O106">
        <f>IF(M106=-1,0,IF(M106&lt;=3,词条!C16,词条!D16))</f>
        <v>7</v>
      </c>
      <c r="P106" s="8">
        <f>IF(M106=-1,0,INT((M108/100)*路线!B11+N106*路线!B35+N108*路线!B15+O106*路线!B30+O108))</f>
        <v>343</v>
      </c>
      <c r="Q106" s="5">
        <f>IF(M106=-1,0,INT((M108/100)*路线!B12+N106*路线!B35+N108*路线!B18+O106*路线!B30+O108))</f>
        <v>307</v>
      </c>
      <c r="R106" s="6">
        <f>IF(M106=-1,0,INT((M108/100)*路线!B13+N106*路线!B35+N108*路线!B21+O106*路线!B30+O108))</f>
        <v>220</v>
      </c>
      <c r="U106" s="100"/>
      <c r="V106" s="100"/>
      <c r="W106" s="7">
        <v>4</v>
      </c>
      <c r="Y106">
        <f>IF(W106=-1,0,IF(W106&lt;=3,词条!F22,词条!G22))</f>
        <v>22</v>
      </c>
      <c r="Z106" s="5">
        <f>IF(W106=-1,0,IF(路线!C6="计算",INT(W108+X108*路线!B15+Y106*IF(路线!B36&lt;=3,路线!B36,3)+Y108+20),INT(W108+X108*路线!B15+Y106*IF(路线!B36&lt;=3,路线!B36,3)+Y108)))</f>
        <v>254</v>
      </c>
      <c r="AA106" s="5">
        <f>IF(W106=-1,0,IF(路线!C6="计算",INT(W108+X108*路线!B18+Y106*IF(路线!B36&lt;=3,路线!B36,3)+Y108+20),INT(W108+X108*路线!B18+Y106*IF(路线!B36&lt;=3,路线!B36,3)+Y108)))</f>
        <v>237</v>
      </c>
      <c r="AB106" s="9">
        <f>IF(W106=-1,0,IF(路线!C6="计算",INT(W108+X108*路线!B21+Y106*IF(路线!B36&lt;=3,路线!B36,3)+Y108+20),INT(W108+X108*路线!B21+Y106*IF(路线!B36&lt;=3,路线!B36,3)+Y108)))</f>
        <v>186</v>
      </c>
      <c r="AC106" s="1"/>
      <c r="AD106" s="1"/>
      <c r="AE106" s="1"/>
      <c r="AF106" s="1"/>
      <c r="AG106" s="1"/>
      <c r="AH106" s="1"/>
      <c r="AI106" s="1"/>
      <c r="AJ106" s="1"/>
      <c r="AK106" s="1"/>
      <c r="AL106" s="1"/>
      <c r="AM106" s="1"/>
      <c r="AN106" s="1"/>
      <c r="AO106" s="100"/>
      <c r="AP106" s="100"/>
      <c r="AQ106" s="7">
        <v>4</v>
      </c>
      <c r="AS106">
        <f>IF(AQ106=-1,0,IF(AQ106&lt;=3,词条!I7,词条!J7))</f>
        <v>13</v>
      </c>
      <c r="AT106" s="5">
        <f>INT(AQ108+AR108*(路线!B28+路线!B29)+AS106*路线!B15+AS108)</f>
        <v>139</v>
      </c>
      <c r="AU106" s="5">
        <f>INT(AQ108+AR108*(路线!B28+路线!B29)+AS106*路线!B18+AS108)</f>
        <v>126</v>
      </c>
      <c r="AV106" s="9">
        <f>INT(AQ108+AR108*(路线!B28+路线!B29)+AS106*路线!B21+AS108)</f>
        <v>87</v>
      </c>
      <c r="AW106" s="2">
        <f>AT106+AW105</f>
        <v>199</v>
      </c>
      <c r="AX106" s="1"/>
      <c r="AY106" s="1"/>
      <c r="AZ106" s="1"/>
      <c r="BA106" s="1"/>
      <c r="BB106" s="1"/>
      <c r="BC106" s="1"/>
      <c r="BD106" s="1"/>
      <c r="BE106" s="1"/>
      <c r="BF106" s="1"/>
      <c r="BG106" s="1"/>
      <c r="BH106" s="1"/>
    </row>
    <row r="107" spans="1:60" ht="16" customHeight="1" x14ac:dyDescent="0.3">
      <c r="A107" s="108"/>
      <c r="B107" s="108"/>
      <c r="C107" s="4" t="s">
        <v>15</v>
      </c>
      <c r="D107" s="4" t="s">
        <v>130</v>
      </c>
      <c r="E107" s="4" t="s">
        <v>16</v>
      </c>
      <c r="F107" s="109" t="s">
        <v>37</v>
      </c>
      <c r="G107" s="109"/>
      <c r="H107" s="109"/>
      <c r="K107" s="100"/>
      <c r="L107" s="100"/>
      <c r="M107" t="s">
        <v>17</v>
      </c>
      <c r="N107" t="s">
        <v>36</v>
      </c>
      <c r="O107" t="s">
        <v>16</v>
      </c>
      <c r="P107" s="101"/>
      <c r="Q107" s="100"/>
      <c r="R107" s="100"/>
      <c r="U107" s="100"/>
      <c r="V107" s="100"/>
      <c r="W107" t="s">
        <v>15</v>
      </c>
      <c r="X107" t="s">
        <v>36</v>
      </c>
      <c r="Y107" t="s">
        <v>16</v>
      </c>
      <c r="Z107" s="104" t="s">
        <v>37</v>
      </c>
      <c r="AA107" s="100"/>
      <c r="AB107" s="100"/>
      <c r="AC107" s="1"/>
      <c r="AD107" s="1"/>
      <c r="AE107" s="1"/>
      <c r="AF107" s="1"/>
      <c r="AG107" s="1"/>
      <c r="AH107" s="1"/>
      <c r="AI107" s="1"/>
      <c r="AJ107" s="1"/>
      <c r="AK107" s="1"/>
      <c r="AL107" s="1"/>
      <c r="AM107" s="1"/>
      <c r="AN107" s="1"/>
      <c r="AO107" s="100"/>
      <c r="AP107" s="100"/>
      <c r="AQ107" t="s">
        <v>15</v>
      </c>
      <c r="AR107" t="s">
        <v>14</v>
      </c>
      <c r="AS107" t="s">
        <v>16</v>
      </c>
      <c r="AT107" s="104" t="s">
        <v>37</v>
      </c>
      <c r="AU107" s="100"/>
      <c r="AV107" s="100"/>
      <c r="AW107" s="2">
        <f>AU106+AW105</f>
        <v>186</v>
      </c>
      <c r="AX107" s="1"/>
      <c r="AY107" s="1"/>
      <c r="AZ107" s="1"/>
      <c r="BA107" s="1"/>
      <c r="BB107" s="1"/>
      <c r="BC107" s="1"/>
      <c r="BD107" s="1"/>
      <c r="BE107" s="1"/>
      <c r="BF107" s="1"/>
      <c r="BG107" s="1"/>
      <c r="BH107" s="1"/>
    </row>
    <row r="108" spans="1:60" ht="16" customHeight="1" x14ac:dyDescent="0.3">
      <c r="A108" s="108"/>
      <c r="B108" s="108"/>
      <c r="C108" s="4">
        <f>IF(C106=-1,0,INDEX(词条!C3:G3,C106+1))</f>
        <v>48</v>
      </c>
      <c r="D108" s="4">
        <f>IF(C106=-1,0,IF(C106&lt;=2,词条!F11,词条!G11))</f>
        <v>5</v>
      </c>
      <c r="E108" s="4">
        <f>IF(C106=-1,0,CHOOSE(C106+1,词条!C2,词条!D2,词条!D2,词条!D2,词条!E2))</f>
        <v>30</v>
      </c>
      <c r="F108" s="110" t="s">
        <v>105</v>
      </c>
      <c r="G108" s="110"/>
      <c r="H108" s="110"/>
      <c r="K108" s="100"/>
      <c r="L108" s="100"/>
      <c r="M108">
        <f>IF(M106=-1,0,INDEX(词条!C4:G4,M106+1))</f>
        <v>8.5</v>
      </c>
      <c r="N108">
        <f>IF(M106=-1,0,IF(M106&lt;=2,词条!C7,词条!D7))</f>
        <v>17</v>
      </c>
      <c r="O108">
        <f>IF(M106=-1,0,CHOOSE(M106+1,词条!C2,词条!D2,词条!D2,词条!D2,词条!E2))</f>
        <v>40</v>
      </c>
      <c r="P108" s="106" t="s">
        <v>54</v>
      </c>
      <c r="Q108" s="100"/>
      <c r="R108" s="100"/>
      <c r="U108" s="100"/>
      <c r="V108" s="100"/>
      <c r="W108">
        <f>IF(W106=-1,0,INDEX(词条!C3:G3,W106+1))</f>
        <v>60</v>
      </c>
      <c r="X108">
        <f>IF(W106=-1,0,IF(W106&lt;=2,词条!C7,词条!D7))</f>
        <v>17</v>
      </c>
      <c r="Y108">
        <f>IF(W106=-1,0,CHOOSE(W106+1,词条!C2,词条!D2,词条!D2,词条!D2,词条!E2))</f>
        <v>40</v>
      </c>
      <c r="Z108" s="107" t="s">
        <v>105</v>
      </c>
      <c r="AA108" s="100"/>
      <c r="AB108" s="100"/>
      <c r="AC108" s="1"/>
      <c r="AD108" s="1"/>
      <c r="AE108" s="1"/>
      <c r="AF108" s="1"/>
      <c r="AG108" s="1"/>
      <c r="AH108" s="1"/>
      <c r="AI108" s="1"/>
      <c r="AJ108" s="1"/>
      <c r="AK108" s="1"/>
      <c r="AL108" s="1"/>
      <c r="AM108" s="1"/>
      <c r="AN108" s="1"/>
      <c r="AO108" s="100"/>
      <c r="AP108" s="100"/>
      <c r="AQ108">
        <f>IF(AQ106=-1,0,INDEX(词条!I3:M3,AQ106+1))</f>
        <v>45</v>
      </c>
      <c r="AR108">
        <f>IF(AQ106=-1,0,IF(AQ106=0,词条!I9,词条!J9))</f>
        <v>3</v>
      </c>
      <c r="AS108">
        <f>IF(AQ106=-1,0,CHOOSE(AQ106+1,词条!I2,词条!I2,词条!J2,词条!J2,词条!K2))</f>
        <v>30</v>
      </c>
      <c r="AT108" s="107" t="s">
        <v>105</v>
      </c>
      <c r="AU108" s="100"/>
      <c r="AV108" s="100"/>
      <c r="AW108" s="2">
        <f>AV106+AW105</f>
        <v>147</v>
      </c>
      <c r="AX108" s="1"/>
      <c r="AY108" s="1"/>
      <c r="AZ108" s="1"/>
      <c r="BA108" s="1"/>
      <c r="BB108" s="1"/>
      <c r="BC108" s="1"/>
      <c r="BD108" s="1"/>
      <c r="BE108" s="1"/>
      <c r="BF108" s="1"/>
      <c r="BG108" s="1"/>
      <c r="BH108" s="1"/>
    </row>
    <row r="109" spans="1:60" ht="16"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6" customHeight="1" x14ac:dyDescent="0.3">
      <c r="A110" s="1"/>
      <c r="B110" s="1"/>
      <c r="C110" s="1"/>
      <c r="D110" s="1"/>
      <c r="E110" s="1"/>
      <c r="F110" s="1"/>
      <c r="G110" s="1"/>
      <c r="H110" s="1"/>
      <c r="K110" s="103" t="s">
        <v>143</v>
      </c>
      <c r="L110" s="100"/>
      <c r="M110" s="100"/>
      <c r="N110" s="100"/>
      <c r="O110" s="100"/>
      <c r="P110" s="100"/>
      <c r="Q110" s="100"/>
      <c r="R110" s="1"/>
      <c r="S110" s="2" t="s">
        <v>5</v>
      </c>
      <c r="T110" s="1"/>
      <c r="U110" s="100" t="s">
        <v>144</v>
      </c>
      <c r="V110" s="100"/>
      <c r="W110" s="100"/>
      <c r="X110" s="100"/>
      <c r="Y110" s="100"/>
      <c r="Z110" s="100"/>
      <c r="AA110" s="100"/>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63" customHeight="1" x14ac:dyDescent="0.3">
      <c r="A111" s="1"/>
      <c r="B111" s="1"/>
      <c r="C111" s="1"/>
      <c r="D111" s="1"/>
      <c r="E111" s="1"/>
      <c r="F111" s="1"/>
      <c r="G111" s="1"/>
      <c r="H111" s="1"/>
      <c r="K111" s="101"/>
      <c r="L111" s="100"/>
      <c r="M111" t="s">
        <v>7</v>
      </c>
      <c r="N111" t="s">
        <v>39</v>
      </c>
      <c r="O111" t="s">
        <v>8</v>
      </c>
      <c r="P111" s="8" t="s">
        <v>9</v>
      </c>
      <c r="Q111" s="5" t="s">
        <v>10</v>
      </c>
      <c r="R111" s="6" t="s">
        <v>11</v>
      </c>
      <c r="S111" s="2">
        <f>IF(M112=-1,0,20)</f>
        <v>20</v>
      </c>
      <c r="U111" s="101"/>
      <c r="V111" s="100"/>
      <c r="W111" t="s">
        <v>7</v>
      </c>
      <c r="X111" t="s">
        <v>145</v>
      </c>
      <c r="Y111" t="s">
        <v>146</v>
      </c>
      <c r="Z111" s="21" t="s">
        <v>9</v>
      </c>
      <c r="AA111" s="20" t="s">
        <v>10</v>
      </c>
      <c r="AB111" s="19" t="s">
        <v>11</v>
      </c>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6" customHeight="1" x14ac:dyDescent="0.3">
      <c r="A112" s="1"/>
      <c r="B112" s="1"/>
      <c r="C112" s="1"/>
      <c r="D112" s="1"/>
      <c r="E112" s="1"/>
      <c r="F112" s="1"/>
      <c r="G112" s="1"/>
      <c r="H112" s="1"/>
      <c r="K112" s="100"/>
      <c r="L112" s="100"/>
      <c r="M112" s="7">
        <v>4</v>
      </c>
      <c r="N112">
        <f>IF(M112=-1,0,IF(M112&lt;=1,词条!C19,词条!D19))</f>
        <v>22</v>
      </c>
      <c r="O112">
        <f>IF(M112=-1,0,IF(M112&lt;=3,词条!C16,词条!D16))</f>
        <v>7</v>
      </c>
      <c r="P112" s="5">
        <f>INT(M114+N112+N114*IF(路线!B38&lt;=3,路线!B38,3)+O112*路线!B30+O114)</f>
        <v>234</v>
      </c>
      <c r="Q112" s="5">
        <f>INT(M114+N112+N114*IF(路线!B38&lt;=3,路线!B38,3)+O112*路线!B30+O114)</f>
        <v>234</v>
      </c>
      <c r="R112" s="5">
        <f>INT(M114+N112+N114*IF(路线!B38&lt;=3,路线!B38,3)+O112*路线!B30+O114)</f>
        <v>234</v>
      </c>
      <c r="S112" s="2">
        <f>P112+S111</f>
        <v>254</v>
      </c>
      <c r="U112" s="100"/>
      <c r="V112" s="100"/>
      <c r="W112" s="7">
        <v>4</v>
      </c>
      <c r="X112">
        <f>IF(W112=-1,0,IF(W112&lt;=1,词条!C25,词条!D25))</f>
        <v>21</v>
      </c>
      <c r="Y112">
        <f>IF(W112=-1,0,IF(W112&lt;=3,词条!F22,词条!G22))</f>
        <v>22</v>
      </c>
      <c r="Z112" s="5">
        <f>IF(W112=-1,0,IF(路线!C6="计算",INT(W114+X112*IF(路线!B38&lt;=3,路线!B38,3)+X114*路线!B15+Y112*IF(路线!B37&lt;=3,路线!B37,3)+Y114+40),INT(W114+X112*IF(路线!B38&lt;=3,路线!B38,3)+X114*路线!B15+Y112*IF(路线!B37&lt;=3,路线!B37,3)+Y114)))</f>
        <v>337</v>
      </c>
      <c r="AA112" s="5">
        <f>IF(W112=-1,0,IF(路线!C6="计算",INT(W114+X112*IF(路线!B38&lt;=3,路线!B38,3)+X114*路线!B18+Y112*IF(路线!B37&lt;=3,路线!B37,3)+Y114+40),INT(W114+X112*IF(路线!B38&lt;=3,路线!B38,3)+X114*路线!B18+Y112*IF(路线!B37&lt;=3,路线!B37,3)+Y114)))</f>
        <v>320</v>
      </c>
      <c r="AB112" s="9">
        <f>IF(W112=-1,0,IF(路线!C6="计算",INT(W114+X112*IF(路线!B38&lt;=3,路线!B38,3)+X114*路线!B21+Y112*IF(路线!B37&lt;=3,路线!B37,3)+Y114+40),INT(W114+X112*IF(路线!B38&lt;=3,路线!B38,3)+X114*路线!B21+Y112*IF(路线!B37&lt;=3,路线!B37,3)+Y114)))</f>
        <v>269</v>
      </c>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6" customHeight="1" x14ac:dyDescent="0.3">
      <c r="A113" s="1"/>
      <c r="B113" s="1"/>
      <c r="C113" s="1"/>
      <c r="D113" s="1"/>
      <c r="E113" s="1"/>
      <c r="F113" s="1"/>
      <c r="G113" s="1"/>
      <c r="H113" s="1"/>
      <c r="K113" s="100"/>
      <c r="L113" s="100"/>
      <c r="M113" t="s">
        <v>15</v>
      </c>
      <c r="N113" t="s">
        <v>145</v>
      </c>
      <c r="O113" t="s">
        <v>16</v>
      </c>
      <c r="P113" s="101"/>
      <c r="Q113" s="100"/>
      <c r="R113" s="100"/>
      <c r="S113" s="2">
        <f>Q112+S111</f>
        <v>254</v>
      </c>
      <c r="U113" s="100"/>
      <c r="V113" s="100"/>
      <c r="W113" t="s">
        <v>15</v>
      </c>
      <c r="X113" t="s">
        <v>36</v>
      </c>
      <c r="Y113" t="s">
        <v>16</v>
      </c>
      <c r="Z113" s="101"/>
      <c r="AA113" s="100"/>
      <c r="AB113" s="100"/>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6" customHeight="1" x14ac:dyDescent="0.3">
      <c r="A114" s="1"/>
      <c r="B114" s="1"/>
      <c r="C114" s="1"/>
      <c r="D114" s="1"/>
      <c r="E114" s="1"/>
      <c r="F114" s="1"/>
      <c r="G114" s="1"/>
      <c r="H114" s="1"/>
      <c r="K114" s="100"/>
      <c r="L114" s="100"/>
      <c r="M114">
        <f>IF(M112=-1,0,INDEX(词条!C3:G3,M112+1))</f>
        <v>60</v>
      </c>
      <c r="N114">
        <f>IF(M112=-1,0,IF(M112&lt;=2,词条!C25,词条!D25))</f>
        <v>21</v>
      </c>
      <c r="O114">
        <f>IF(M112=-1,0,CHOOSE(M112+1,词条!C2,词条!D2,词条!D2,词条!D2,词条!E2))</f>
        <v>40</v>
      </c>
      <c r="P114" s="102" t="s">
        <v>22</v>
      </c>
      <c r="Q114" s="100"/>
      <c r="R114" s="100"/>
      <c r="S114" s="2">
        <f>R112+S111</f>
        <v>254</v>
      </c>
      <c r="U114" s="100"/>
      <c r="V114" s="100"/>
      <c r="W114">
        <f>IF(W112=-1,0,INDEX(词条!C3:G3,W112+1))</f>
        <v>60</v>
      </c>
      <c r="X114">
        <f>IF(W112=-1,0,IF(W112&lt;=2,词条!C7,词条!D7))</f>
        <v>17</v>
      </c>
      <c r="Y114">
        <f>IF(W112=-1,0,CHOOSE(W112+1,词条!C2,词条!D2,词条!D2,词条!D2,词条!E2))</f>
        <v>40</v>
      </c>
      <c r="Z114" s="107" t="s">
        <v>105</v>
      </c>
      <c r="AA114" s="100"/>
      <c r="AB114" s="100"/>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6"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6" customHeight="1" x14ac:dyDescent="0.3">
      <c r="A116" s="1"/>
      <c r="B116" s="1"/>
      <c r="C116" s="1"/>
      <c r="D116" s="1"/>
      <c r="E116" s="1"/>
      <c r="F116" s="1"/>
      <c r="G116" s="1"/>
      <c r="H116" s="1"/>
      <c r="I116" s="1"/>
      <c r="J116" s="1"/>
      <c r="K116" s="100" t="s">
        <v>147</v>
      </c>
      <c r="L116" s="100"/>
      <c r="M116" s="100"/>
      <c r="N116" s="100"/>
      <c r="O116" s="100"/>
      <c r="P116" s="100"/>
      <c r="Q116" s="100"/>
      <c r="R116" s="1"/>
      <c r="S116" s="1"/>
      <c r="T116" s="1"/>
      <c r="U116" s="100" t="s">
        <v>148</v>
      </c>
      <c r="V116" s="100"/>
      <c r="W116" s="100"/>
      <c r="X116" s="100"/>
      <c r="Y116" s="100"/>
      <c r="Z116" s="100"/>
      <c r="AA116" s="100"/>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63" customHeight="1" x14ac:dyDescent="0.3">
      <c r="A117" s="1"/>
      <c r="B117" s="1"/>
      <c r="C117" s="1"/>
      <c r="D117" s="1"/>
      <c r="E117" s="1"/>
      <c r="F117" s="1"/>
      <c r="G117" s="1"/>
      <c r="H117" s="1"/>
      <c r="I117" s="1"/>
      <c r="J117" s="1"/>
      <c r="K117" s="101"/>
      <c r="L117" s="100"/>
      <c r="M117" t="s">
        <v>7</v>
      </c>
      <c r="O117" t="s">
        <v>149</v>
      </c>
      <c r="P117" s="8" t="s">
        <v>9</v>
      </c>
      <c r="Q117" s="5" t="s">
        <v>10</v>
      </c>
      <c r="R117" s="6" t="s">
        <v>11</v>
      </c>
      <c r="T117" s="1"/>
      <c r="U117" s="101"/>
      <c r="V117" s="100"/>
      <c r="W117" t="s">
        <v>7</v>
      </c>
      <c r="X117" s="1"/>
      <c r="Y117" t="s">
        <v>36</v>
      </c>
      <c r="Z117" s="21" t="s">
        <v>9</v>
      </c>
      <c r="AA117" s="20" t="s">
        <v>10</v>
      </c>
      <c r="AB117" s="19" t="s">
        <v>11</v>
      </c>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6" customHeight="1" x14ac:dyDescent="0.3">
      <c r="A118" s="1"/>
      <c r="B118" s="1"/>
      <c r="C118" s="1"/>
      <c r="D118" s="1"/>
      <c r="E118" s="1"/>
      <c r="F118" s="1"/>
      <c r="G118" s="1"/>
      <c r="H118" s="1"/>
      <c r="I118" s="1"/>
      <c r="J118" s="1"/>
      <c r="K118" s="100"/>
      <c r="L118" s="100"/>
      <c r="M118" s="7">
        <v>4</v>
      </c>
      <c r="O118">
        <f>IF(M118=-1,0,IF(M118&lt;=3,词条!F20,词条!G20))</f>
        <v>5</v>
      </c>
      <c r="P118" s="5">
        <f>INT(M120+N120*路线!B15+O118*路线!B40+O120)</f>
        <v>238</v>
      </c>
      <c r="Q118" s="5">
        <f>INT(M120+N120*路线!B18+O118*路线!B40+O120)</f>
        <v>221</v>
      </c>
      <c r="R118" s="5">
        <f>INT(M120+N120*路线!B21+O118*路线!B40+O120)</f>
        <v>170</v>
      </c>
      <c r="U118" s="100"/>
      <c r="V118" s="100"/>
      <c r="W118" s="7">
        <v>4</v>
      </c>
      <c r="Y118">
        <f>IF(W118=-1,0,IF(W118&lt;=3,词条!F7,词条!G7))</f>
        <v>13</v>
      </c>
      <c r="Z118" s="5">
        <f>IF(W118=-1,0,INT((W120/100)*路线!B11+X120*路线!B23+Y118*路线!B15+Y120))</f>
        <v>188</v>
      </c>
      <c r="AA118" s="5">
        <f>IF(W118=-1,0,INT((W120/100)*路线!B12+X120*路线!B23+Y118*路线!B18+Y120))</f>
        <v>156</v>
      </c>
      <c r="AB118" s="9">
        <f>IF(W118=-1,0,INT((W120/100)*路线!B13+X120*路线!B23+Y118*路线!B21+Y120))</f>
        <v>81</v>
      </c>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6" customHeight="1" x14ac:dyDescent="0.3">
      <c r="A119" s="1"/>
      <c r="B119" s="1"/>
      <c r="C119" s="1"/>
      <c r="D119" s="1"/>
      <c r="E119" s="1"/>
      <c r="F119" s="1"/>
      <c r="G119" s="1"/>
      <c r="H119" s="1"/>
      <c r="I119" s="1"/>
      <c r="J119" s="1"/>
      <c r="K119" s="100"/>
      <c r="L119" s="100"/>
      <c r="M119" t="s">
        <v>15</v>
      </c>
      <c r="N119" t="s">
        <v>36</v>
      </c>
      <c r="O119" t="s">
        <v>16</v>
      </c>
      <c r="P119" s="104" t="s">
        <v>37</v>
      </c>
      <c r="Q119" s="100"/>
      <c r="R119" s="100"/>
      <c r="U119" s="100"/>
      <c r="V119" s="100"/>
      <c r="W119" t="s">
        <v>17</v>
      </c>
      <c r="X119" t="s">
        <v>12</v>
      </c>
      <c r="Y119" t="s">
        <v>16</v>
      </c>
      <c r="Z119" s="101"/>
      <c r="AA119" s="100"/>
      <c r="AB119" s="100"/>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6" customHeight="1" x14ac:dyDescent="0.3">
      <c r="A120" s="1"/>
      <c r="B120" s="1"/>
      <c r="C120" s="1"/>
      <c r="D120" s="1"/>
      <c r="E120" s="1"/>
      <c r="F120" s="1"/>
      <c r="G120" s="1"/>
      <c r="H120" s="1"/>
      <c r="I120" s="1"/>
      <c r="J120" s="1"/>
      <c r="K120" s="100"/>
      <c r="L120" s="100"/>
      <c r="M120">
        <f>IF(M118=-1,0,INDEX(词条!C3:G3,M118+1))</f>
        <v>60</v>
      </c>
      <c r="N120">
        <f>IF(M118=-1,0,IF(M118&lt;=2,词条!C7,词条!D7))</f>
        <v>17</v>
      </c>
      <c r="O120">
        <f>IF(M118=-1,0,CHOOSE(M118+1,词条!C2,词条!D2,词条!D2,词条!D2,词条!E2))</f>
        <v>40</v>
      </c>
      <c r="P120" s="107" t="s">
        <v>105</v>
      </c>
      <c r="Q120" s="100"/>
      <c r="R120" s="100"/>
      <c r="U120" s="100"/>
      <c r="V120" s="100"/>
      <c r="W120">
        <f>IF(W118=-1,0,INDEX(词条!C4:G4,W118+1))</f>
        <v>8.5</v>
      </c>
      <c r="X120">
        <f>IF(W118=-1,0,IF(W118&lt;=2,词条!F14,词条!G14))</f>
        <v>2</v>
      </c>
      <c r="Y120">
        <f>IF(W118=-1,0,CHOOSE(W118+1,词条!C2,词条!D2,词条!D2,词条!D2,词条!E2))</f>
        <v>40</v>
      </c>
      <c r="Z120" s="102" t="s">
        <v>22</v>
      </c>
      <c r="AA120" s="100"/>
      <c r="AB120" s="100"/>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6" customHeight="1" x14ac:dyDescent="0.3"/>
    <row r="122" spans="1:60" ht="16" customHeight="1" x14ac:dyDescent="0.3">
      <c r="K122" s="111" t="s">
        <v>150</v>
      </c>
      <c r="L122" s="111"/>
      <c r="M122" s="111"/>
      <c r="N122" s="111"/>
      <c r="O122" s="111"/>
      <c r="P122" s="111"/>
      <c r="Q122" s="111"/>
      <c r="R122" s="4"/>
      <c r="U122" s="111" t="s">
        <v>151</v>
      </c>
      <c r="V122" s="111"/>
      <c r="W122" s="111"/>
      <c r="X122" s="111"/>
      <c r="Y122" s="111"/>
      <c r="Z122" s="111"/>
      <c r="AA122" s="111"/>
      <c r="AB122" s="3"/>
    </row>
    <row r="123" spans="1:60" ht="62.5" customHeight="1" x14ac:dyDescent="0.3">
      <c r="K123" s="108"/>
      <c r="L123" s="108"/>
      <c r="M123" s="4" t="s">
        <v>7</v>
      </c>
      <c r="N123" s="4"/>
      <c r="O123" s="4" t="s">
        <v>36</v>
      </c>
      <c r="P123" s="11" t="s">
        <v>9</v>
      </c>
      <c r="Q123" s="13" t="s">
        <v>10</v>
      </c>
      <c r="R123" s="14" t="s">
        <v>11</v>
      </c>
      <c r="U123" s="108"/>
      <c r="V123" s="108"/>
      <c r="W123" s="4" t="s">
        <v>7</v>
      </c>
      <c r="X123" s="4"/>
      <c r="Y123" s="4" t="s">
        <v>18</v>
      </c>
      <c r="Z123" s="28" t="s">
        <v>9</v>
      </c>
      <c r="AA123" s="29" t="s">
        <v>10</v>
      </c>
      <c r="AB123" s="30" t="s">
        <v>11</v>
      </c>
    </row>
    <row r="124" spans="1:60" ht="16" customHeight="1" x14ac:dyDescent="0.3">
      <c r="K124" s="108"/>
      <c r="L124" s="108"/>
      <c r="M124" s="12">
        <v>0</v>
      </c>
      <c r="N124" s="4"/>
      <c r="O124" s="4">
        <f>IF(M124=-1,0,IF(M124&lt;=3,词条!F7,词条!G7))</f>
        <v>9</v>
      </c>
      <c r="P124" s="11">
        <f>INT(M126+N126+O124*路线!B15+O126)</f>
        <v>125</v>
      </c>
      <c r="Q124" s="13">
        <f>INT(M126+N126+O124*路线!B18+O126)</f>
        <v>116</v>
      </c>
      <c r="R124" s="14">
        <f>INT(M126+N126+O124*路线!B21+O126)</f>
        <v>89</v>
      </c>
      <c r="U124" s="108"/>
      <c r="V124" s="108"/>
      <c r="W124" s="12">
        <v>0</v>
      </c>
      <c r="X124" s="4"/>
      <c r="Y124" s="4">
        <f>IF(W124=-1,0,IF(W124&lt;=3,词条!F13,词条!G13))</f>
        <v>1</v>
      </c>
      <c r="Z124" s="11">
        <f>INT(W126+X126*路线!B29+Y124*路线!B24+Y126)</f>
        <v>100</v>
      </c>
      <c r="AA124" s="15">
        <f>INT(W126+X126*路线!B29+Y124*路线!B24+Y126)</f>
        <v>100</v>
      </c>
      <c r="AB124" s="14">
        <f>INT(W126+X126*路线!B29+Y124*路线!B24+Y126)</f>
        <v>100</v>
      </c>
    </row>
    <row r="125" spans="1:60" ht="16" customHeight="1" x14ac:dyDescent="0.3">
      <c r="K125" s="108"/>
      <c r="L125" s="108"/>
      <c r="M125" s="4" t="s">
        <v>15</v>
      </c>
      <c r="N125" s="4" t="s">
        <v>39</v>
      </c>
      <c r="O125" s="4" t="s">
        <v>16</v>
      </c>
      <c r="P125" s="109" t="s">
        <v>37</v>
      </c>
      <c r="Q125" s="109"/>
      <c r="R125" s="109"/>
      <c r="U125" s="108"/>
      <c r="V125" s="108"/>
      <c r="W125" s="4" t="s">
        <v>15</v>
      </c>
      <c r="X125" s="4" t="s">
        <v>38</v>
      </c>
      <c r="Y125" s="4" t="s">
        <v>16</v>
      </c>
      <c r="Z125" s="109" t="s">
        <v>37</v>
      </c>
      <c r="AA125" s="109"/>
      <c r="AB125" s="109"/>
    </row>
    <row r="126" spans="1:60" ht="16" customHeight="1" x14ac:dyDescent="0.3">
      <c r="K126" s="108"/>
      <c r="L126" s="108"/>
      <c r="M126" s="4">
        <f>IF(M124=-1,0,INDEX(词条!C3:G3,M124+1))</f>
        <v>48</v>
      </c>
      <c r="N126" s="4">
        <f>IF(M124=-1,0,IF(M124&lt;=2,词条!F19,词条!G19))</f>
        <v>11</v>
      </c>
      <c r="O126" s="4">
        <f>IF(M124=-1,0,CHOOSE(M124+1,词条!C2,词条!D2,词条!D2,词条!D2,词条!E2))</f>
        <v>30</v>
      </c>
      <c r="P126" s="113" t="s">
        <v>54</v>
      </c>
      <c r="Q126" s="113"/>
      <c r="R126" s="113"/>
      <c r="U126" s="108"/>
      <c r="V126" s="108"/>
      <c r="W126" s="4">
        <f>IF(W124=-1,0,INDEX(词条!C3:G3,W124+1))</f>
        <v>48</v>
      </c>
      <c r="X126" s="4">
        <f>IF(W124=-1,0,IF(W124&lt;=2,词条!F10,词条!G10))</f>
        <v>5</v>
      </c>
      <c r="Y126" s="4">
        <f>IF(W124=-1,0,CHOOSE(W124+1,词条!C2,词条!D2,词条!D2,词条!D2,词条!E2))</f>
        <v>30</v>
      </c>
      <c r="Z126" s="112" t="s">
        <v>40</v>
      </c>
      <c r="AA126" s="112"/>
      <c r="AB126" s="112"/>
    </row>
    <row r="127" spans="1:60" ht="16" customHeight="1" x14ac:dyDescent="0.3"/>
    <row r="128" spans="1:60" ht="16" customHeight="1" x14ac:dyDescent="0.3">
      <c r="U128" s="111" t="s">
        <v>152</v>
      </c>
      <c r="V128" s="111"/>
      <c r="W128" s="111"/>
      <c r="X128" s="111"/>
      <c r="Y128" s="111"/>
      <c r="Z128" s="111"/>
      <c r="AA128" s="111"/>
      <c r="AB128" s="3"/>
    </row>
    <row r="129" spans="21:28" ht="62.4" customHeight="1" x14ac:dyDescent="0.3">
      <c r="U129" s="108"/>
      <c r="V129" s="108"/>
      <c r="W129" s="4" t="s">
        <v>7</v>
      </c>
      <c r="X129" s="24" t="s">
        <v>131</v>
      </c>
      <c r="Y129" s="4" t="s">
        <v>47</v>
      </c>
      <c r="Z129" s="28" t="s">
        <v>9</v>
      </c>
      <c r="AA129" s="29" t="s">
        <v>10</v>
      </c>
      <c r="AB129" s="30" t="s">
        <v>11</v>
      </c>
    </row>
    <row r="130" spans="21:28" ht="16" customHeight="1" x14ac:dyDescent="0.3">
      <c r="U130" s="108"/>
      <c r="V130" s="108"/>
      <c r="W130" s="12">
        <v>4</v>
      </c>
      <c r="X130" s="4">
        <f>IF(W130=-1,0,IF(W130&lt;=1,词条!C24,词条!D24))</f>
        <v>4</v>
      </c>
      <c r="Y130" s="4">
        <f>IF(W130=-1,0,IF(W130&lt;=3,词条!C12,词条!D12))</f>
        <v>17</v>
      </c>
      <c r="Z130" s="11">
        <f>IF(W130=-1,0,INT((W132/100)*路线!B11+X130*路线!B27+IF(路线!B41&gt;6,6,路线!B41)*X132+Y130*路线!B34+Y132))</f>
        <v>301</v>
      </c>
      <c r="AA130" s="15">
        <f>IF(W130=-1,0,INT((W132/100)*路线!B12+X130*路线!B27+IF(路线!B41&gt;6,6,路线!B41)*X132+Y130*路线!B34+Y132))</f>
        <v>282</v>
      </c>
      <c r="AB130" s="14">
        <f>IF(W130=-1,0,INT((W132/100)*路线!B13+X130*路线!B27+IF(路线!B41&gt;6,6,路线!B41)*X132+Y130*路线!B34+Y132))</f>
        <v>246</v>
      </c>
    </row>
    <row r="131" spans="21:28" ht="16" customHeight="1" x14ac:dyDescent="0.3">
      <c r="U131" s="108"/>
      <c r="V131" s="108"/>
      <c r="W131" s="4" t="s">
        <v>17</v>
      </c>
      <c r="X131" s="4" t="s">
        <v>153</v>
      </c>
      <c r="Y131" s="4" t="s">
        <v>16</v>
      </c>
      <c r="Z131" s="108"/>
      <c r="AA131" s="108"/>
      <c r="AB131" s="108"/>
    </row>
    <row r="132" spans="21:28" ht="16" customHeight="1" x14ac:dyDescent="0.3">
      <c r="U132" s="108"/>
      <c r="V132" s="108"/>
      <c r="W132" s="4">
        <f>IF(W130=-1,0,INDEX(词条!C4:G4,W130+1))</f>
        <v>8.5</v>
      </c>
      <c r="X132" s="4">
        <f>IF(W112=-1,0,IF(W112&lt;=2,词条!C26,词条!D26))</f>
        <v>11</v>
      </c>
      <c r="Y132" s="4">
        <f>IF(W130=-1,0,CHOOSE(W130+1,词条!C2,词条!D2,词条!D2,词条!D2,词条!E2))</f>
        <v>40</v>
      </c>
      <c r="Z132" s="112" t="s">
        <v>40</v>
      </c>
      <c r="AA132" s="112"/>
      <c r="AB132" s="112"/>
    </row>
    <row r="133" spans="21:28" ht="16" customHeight="1" x14ac:dyDescent="0.3"/>
    <row r="134" spans="21:28" ht="16" customHeight="1" x14ac:dyDescent="0.3"/>
    <row r="135" spans="21:28" ht="16" customHeight="1" x14ac:dyDescent="0.3"/>
    <row r="136" spans="21:28" ht="16" customHeight="1" x14ac:dyDescent="0.3"/>
    <row r="137" spans="21:28" ht="16" customHeight="1" x14ac:dyDescent="0.3"/>
    <row r="138" spans="21:28" ht="16" customHeight="1" x14ac:dyDescent="0.3"/>
    <row r="139" spans="21:28" ht="16" customHeight="1" x14ac:dyDescent="0.3"/>
    <row r="140" spans="21:28" ht="16" customHeight="1" x14ac:dyDescent="0.3"/>
    <row r="141" spans="21:28" ht="16" customHeight="1" x14ac:dyDescent="0.3"/>
    <row r="142" spans="21:28" ht="16" customHeight="1" x14ac:dyDescent="0.3"/>
    <row r="143" spans="21:28" ht="16" customHeight="1" x14ac:dyDescent="0.3"/>
    <row r="144" spans="21:28" ht="16" customHeight="1" x14ac:dyDescent="0.3"/>
    <row r="145" ht="16" customHeight="1" x14ac:dyDescent="0.3"/>
    <row r="146" ht="16" customHeight="1" x14ac:dyDescent="0.3"/>
    <row r="147" ht="16" customHeight="1" x14ac:dyDescent="0.3"/>
    <row r="148" ht="16" customHeight="1" x14ac:dyDescent="0.3"/>
    <row r="149" ht="16" customHeight="1" x14ac:dyDescent="0.3"/>
    <row r="150" ht="16" customHeight="1" x14ac:dyDescent="0.3"/>
    <row r="151" ht="16" customHeight="1" x14ac:dyDescent="0.3"/>
    <row r="152" ht="16" customHeight="1" x14ac:dyDescent="0.3"/>
    <row r="153" ht="16" customHeight="1" x14ac:dyDescent="0.3"/>
    <row r="154" ht="16" customHeight="1" x14ac:dyDescent="0.3"/>
  </sheetData>
  <mergeCells count="436">
    <mergeCell ref="U128:AA128"/>
    <mergeCell ref="U129:V132"/>
    <mergeCell ref="Z131:AB131"/>
    <mergeCell ref="Z132:AB132"/>
    <mergeCell ref="AY92:BE92"/>
    <mergeCell ref="AY93:AZ96"/>
    <mergeCell ref="BD95:BF95"/>
    <mergeCell ref="BD96:BF96"/>
    <mergeCell ref="K122:Q122"/>
    <mergeCell ref="K123:L126"/>
    <mergeCell ref="P125:R125"/>
    <mergeCell ref="P126:R126"/>
    <mergeCell ref="U122:AA122"/>
    <mergeCell ref="U123:V126"/>
    <mergeCell ref="Z125:AB125"/>
    <mergeCell ref="Z126:AB126"/>
    <mergeCell ref="AO104:AU104"/>
    <mergeCell ref="AO105:AP108"/>
    <mergeCell ref="AT107:AV107"/>
    <mergeCell ref="AT108:AV108"/>
    <mergeCell ref="P107:R107"/>
    <mergeCell ref="Z107:AB107"/>
    <mergeCell ref="P108:R108"/>
    <mergeCell ref="Z108:AB108"/>
    <mergeCell ref="A104:G104"/>
    <mergeCell ref="A105:B108"/>
    <mergeCell ref="F107:H107"/>
    <mergeCell ref="F108:H108"/>
    <mergeCell ref="U116:AA116"/>
    <mergeCell ref="U117:V120"/>
    <mergeCell ref="Z119:AB119"/>
    <mergeCell ref="Z120:AB120"/>
    <mergeCell ref="K116:Q116"/>
    <mergeCell ref="K117:L120"/>
    <mergeCell ref="P119:R119"/>
    <mergeCell ref="P120:R120"/>
    <mergeCell ref="K110:Q110"/>
    <mergeCell ref="U110:AA110"/>
    <mergeCell ref="K111:L114"/>
    <mergeCell ref="U111:V114"/>
    <mergeCell ref="P113:R113"/>
    <mergeCell ref="Z113:AB113"/>
    <mergeCell ref="P114:R114"/>
    <mergeCell ref="Z114:AB114"/>
    <mergeCell ref="K104:Q104"/>
    <mergeCell ref="U104:AA104"/>
    <mergeCell ref="K105:L108"/>
    <mergeCell ref="U105:V108"/>
    <mergeCell ref="A98:G98"/>
    <mergeCell ref="K98:Q98"/>
    <mergeCell ref="U98:AA98"/>
    <mergeCell ref="AO98:AU98"/>
    <mergeCell ref="A99:B102"/>
    <mergeCell ref="K99:L102"/>
    <mergeCell ref="U99:V102"/>
    <mergeCell ref="AO99:AP102"/>
    <mergeCell ref="F101:H101"/>
    <mergeCell ref="P101:R101"/>
    <mergeCell ref="Z101:AB101"/>
    <mergeCell ref="AT101:AV101"/>
    <mergeCell ref="F102:H102"/>
    <mergeCell ref="P102:R102"/>
    <mergeCell ref="Z102:AB102"/>
    <mergeCell ref="AT102:AV102"/>
    <mergeCell ref="A92:G92"/>
    <mergeCell ref="K92:Q92"/>
    <mergeCell ref="U92:AA92"/>
    <mergeCell ref="AO92:AU92"/>
    <mergeCell ref="A93:B96"/>
    <mergeCell ref="K93:L96"/>
    <mergeCell ref="U93:V96"/>
    <mergeCell ref="AO93:AP96"/>
    <mergeCell ref="F95:H95"/>
    <mergeCell ref="P95:R95"/>
    <mergeCell ref="Z95:AB95"/>
    <mergeCell ref="AT95:AV95"/>
    <mergeCell ref="F96:H96"/>
    <mergeCell ref="P96:R96"/>
    <mergeCell ref="Z96:AB96"/>
    <mergeCell ref="AT96:AV96"/>
    <mergeCell ref="BD89:BF89"/>
    <mergeCell ref="F90:H90"/>
    <mergeCell ref="P90:R90"/>
    <mergeCell ref="Z90:AB90"/>
    <mergeCell ref="AT90:AV90"/>
    <mergeCell ref="BD90:BF90"/>
    <mergeCell ref="A87:B90"/>
    <mergeCell ref="K87:L90"/>
    <mergeCell ref="U87:V90"/>
    <mergeCell ref="AO87:AP90"/>
    <mergeCell ref="AY87:AZ90"/>
    <mergeCell ref="F89:H89"/>
    <mergeCell ref="P89:R89"/>
    <mergeCell ref="Z89:AB89"/>
    <mergeCell ref="AT89:AV89"/>
    <mergeCell ref="A86:G86"/>
    <mergeCell ref="K86:Q86"/>
    <mergeCell ref="U86:AA86"/>
    <mergeCell ref="AO86:AU86"/>
    <mergeCell ref="AY86:BE86"/>
    <mergeCell ref="BD83:BF83"/>
    <mergeCell ref="F84:H84"/>
    <mergeCell ref="P84:R84"/>
    <mergeCell ref="Z84:AB84"/>
    <mergeCell ref="AJ84:AL84"/>
    <mergeCell ref="AT84:AV84"/>
    <mergeCell ref="BD84:BF84"/>
    <mergeCell ref="AY81:AZ84"/>
    <mergeCell ref="F83:H83"/>
    <mergeCell ref="P83:R83"/>
    <mergeCell ref="Z83:AB83"/>
    <mergeCell ref="AJ83:AL83"/>
    <mergeCell ref="AT83:AV83"/>
    <mergeCell ref="A81:B84"/>
    <mergeCell ref="K81:L84"/>
    <mergeCell ref="U81:V84"/>
    <mergeCell ref="AE81:AF84"/>
    <mergeCell ref="AO81:AP84"/>
    <mergeCell ref="AJ78:AL78"/>
    <mergeCell ref="AT78:AV78"/>
    <mergeCell ref="BD78:BF78"/>
    <mergeCell ref="A80:G80"/>
    <mergeCell ref="K80:Q80"/>
    <mergeCell ref="U80:AA80"/>
    <mergeCell ref="AE80:AK80"/>
    <mergeCell ref="AO80:AU80"/>
    <mergeCell ref="AY80:BE80"/>
    <mergeCell ref="Z71:AB71"/>
    <mergeCell ref="AJ71:AL71"/>
    <mergeCell ref="AT71:AV71"/>
    <mergeCell ref="AY74:BE74"/>
    <mergeCell ref="A75:B78"/>
    <mergeCell ref="K75:L78"/>
    <mergeCell ref="U75:V78"/>
    <mergeCell ref="AE75:AF78"/>
    <mergeCell ref="AO75:AP78"/>
    <mergeCell ref="AY75:AZ78"/>
    <mergeCell ref="F77:H77"/>
    <mergeCell ref="P77:R77"/>
    <mergeCell ref="Z77:AB77"/>
    <mergeCell ref="AJ77:AL77"/>
    <mergeCell ref="AT77:AV77"/>
    <mergeCell ref="BD77:BF77"/>
    <mergeCell ref="F78:H78"/>
    <mergeCell ref="P78:R78"/>
    <mergeCell ref="Z78:AB78"/>
    <mergeCell ref="A74:G74"/>
    <mergeCell ref="K74:Q74"/>
    <mergeCell ref="U74:AA74"/>
    <mergeCell ref="AE74:AK74"/>
    <mergeCell ref="AO74:AU74"/>
    <mergeCell ref="A69:B72"/>
    <mergeCell ref="K69:L72"/>
    <mergeCell ref="U69:V72"/>
    <mergeCell ref="AE69:AF72"/>
    <mergeCell ref="AO69:AP72"/>
    <mergeCell ref="AJ66:AL66"/>
    <mergeCell ref="AT66:AV66"/>
    <mergeCell ref="BD66:BF66"/>
    <mergeCell ref="A68:G68"/>
    <mergeCell ref="K68:Q68"/>
    <mergeCell ref="U68:AA68"/>
    <mergeCell ref="AE68:AK68"/>
    <mergeCell ref="AO68:AU68"/>
    <mergeCell ref="AY68:BE68"/>
    <mergeCell ref="BD71:BF71"/>
    <mergeCell ref="F72:H72"/>
    <mergeCell ref="P72:R72"/>
    <mergeCell ref="Z72:AB72"/>
    <mergeCell ref="AJ72:AL72"/>
    <mergeCell ref="AT72:AV72"/>
    <mergeCell ref="BD72:BF72"/>
    <mergeCell ref="AY69:AZ72"/>
    <mergeCell ref="F71:H71"/>
    <mergeCell ref="P71:R71"/>
    <mergeCell ref="Z59:AB59"/>
    <mergeCell ref="AJ59:AL59"/>
    <mergeCell ref="AT59:AV59"/>
    <mergeCell ref="AY62:BE62"/>
    <mergeCell ref="A63:B66"/>
    <mergeCell ref="K63:L66"/>
    <mergeCell ref="U63:V66"/>
    <mergeCell ref="AE63:AF66"/>
    <mergeCell ref="AO63:AP66"/>
    <mergeCell ref="AY63:AZ66"/>
    <mergeCell ref="F65:H65"/>
    <mergeCell ref="P65:R65"/>
    <mergeCell ref="Z65:AB65"/>
    <mergeCell ref="AJ65:AL65"/>
    <mergeCell ref="AT65:AV65"/>
    <mergeCell ref="BD65:BF65"/>
    <mergeCell ref="F66:H66"/>
    <mergeCell ref="P66:R66"/>
    <mergeCell ref="Z66:AB66"/>
    <mergeCell ref="A62:G62"/>
    <mergeCell ref="K62:Q62"/>
    <mergeCell ref="U62:AA62"/>
    <mergeCell ref="AE62:AK62"/>
    <mergeCell ref="AO62:AU62"/>
    <mergeCell ref="A57:B60"/>
    <mergeCell ref="K57:L60"/>
    <mergeCell ref="U57:V60"/>
    <mergeCell ref="AE57:AF60"/>
    <mergeCell ref="AO57:AP60"/>
    <mergeCell ref="AJ54:AL54"/>
    <mergeCell ref="AT54:AV54"/>
    <mergeCell ref="BD54:BF54"/>
    <mergeCell ref="A56:G56"/>
    <mergeCell ref="K56:Q56"/>
    <mergeCell ref="U56:AA56"/>
    <mergeCell ref="AE56:AK56"/>
    <mergeCell ref="AO56:AU56"/>
    <mergeCell ref="AY56:BE56"/>
    <mergeCell ref="BD59:BF59"/>
    <mergeCell ref="F60:H60"/>
    <mergeCell ref="P60:R60"/>
    <mergeCell ref="Z60:AB60"/>
    <mergeCell ref="AJ60:AL60"/>
    <mergeCell ref="AT60:AV60"/>
    <mergeCell ref="BD60:BF60"/>
    <mergeCell ref="AY57:AZ60"/>
    <mergeCell ref="F59:H59"/>
    <mergeCell ref="P59:R59"/>
    <mergeCell ref="Z47:AB47"/>
    <mergeCell ref="AJ47:AL47"/>
    <mergeCell ref="AT47:AV47"/>
    <mergeCell ref="AY50:BE50"/>
    <mergeCell ref="A51:B54"/>
    <mergeCell ref="K51:L54"/>
    <mergeCell ref="U51:V54"/>
    <mergeCell ref="AE51:AF54"/>
    <mergeCell ref="AO51:AP54"/>
    <mergeCell ref="AY51:AZ54"/>
    <mergeCell ref="F53:H53"/>
    <mergeCell ref="P53:R53"/>
    <mergeCell ref="Z53:AB53"/>
    <mergeCell ref="AJ53:AL53"/>
    <mergeCell ref="AT53:AV53"/>
    <mergeCell ref="BD53:BF53"/>
    <mergeCell ref="F54:H54"/>
    <mergeCell ref="P54:R54"/>
    <mergeCell ref="Z54:AB54"/>
    <mergeCell ref="A50:G50"/>
    <mergeCell ref="K50:Q50"/>
    <mergeCell ref="U50:AA50"/>
    <mergeCell ref="AE50:AK50"/>
    <mergeCell ref="AO50:AU50"/>
    <mergeCell ref="A45:B48"/>
    <mergeCell ref="K45:L48"/>
    <mergeCell ref="U45:V48"/>
    <mergeCell ref="AE45:AF48"/>
    <mergeCell ref="AO45:AP48"/>
    <mergeCell ref="AJ42:AL42"/>
    <mergeCell ref="AT42:AV42"/>
    <mergeCell ref="BD42:BF42"/>
    <mergeCell ref="A44:G44"/>
    <mergeCell ref="K44:Q44"/>
    <mergeCell ref="U44:AA44"/>
    <mergeCell ref="AE44:AK44"/>
    <mergeCell ref="AO44:AU44"/>
    <mergeCell ref="AY44:BE44"/>
    <mergeCell ref="BD47:BF47"/>
    <mergeCell ref="F48:H48"/>
    <mergeCell ref="P48:R48"/>
    <mergeCell ref="Z48:AB48"/>
    <mergeCell ref="AJ48:AL48"/>
    <mergeCell ref="AT48:AV48"/>
    <mergeCell ref="BD48:BF48"/>
    <mergeCell ref="AY45:AZ48"/>
    <mergeCell ref="F47:H47"/>
    <mergeCell ref="P47:R47"/>
    <mergeCell ref="Z35:AB35"/>
    <mergeCell ref="AJ35:AL35"/>
    <mergeCell ref="AT35:AV35"/>
    <mergeCell ref="AY38:BE38"/>
    <mergeCell ref="A39:B42"/>
    <mergeCell ref="K39:L42"/>
    <mergeCell ref="U39:V42"/>
    <mergeCell ref="AE39:AF42"/>
    <mergeCell ref="AO39:AP42"/>
    <mergeCell ref="AY39:AZ42"/>
    <mergeCell ref="F41:H41"/>
    <mergeCell ref="P41:R41"/>
    <mergeCell ref="Z41:AB41"/>
    <mergeCell ref="AJ41:AL41"/>
    <mergeCell ref="AT41:AV41"/>
    <mergeCell ref="BD41:BF41"/>
    <mergeCell ref="F42:H42"/>
    <mergeCell ref="P42:R42"/>
    <mergeCell ref="Z42:AB42"/>
    <mergeCell ref="A38:G38"/>
    <mergeCell ref="K38:Q38"/>
    <mergeCell ref="U38:AA38"/>
    <mergeCell ref="AE38:AK38"/>
    <mergeCell ref="AO38:AU38"/>
    <mergeCell ref="A33:B36"/>
    <mergeCell ref="K33:L36"/>
    <mergeCell ref="U33:V36"/>
    <mergeCell ref="AE33:AF36"/>
    <mergeCell ref="AO33:AP36"/>
    <mergeCell ref="AJ30:AL30"/>
    <mergeCell ref="AT30:AV30"/>
    <mergeCell ref="BD30:BF30"/>
    <mergeCell ref="A32:G32"/>
    <mergeCell ref="K32:Q32"/>
    <mergeCell ref="U32:AA32"/>
    <mergeCell ref="AE32:AK32"/>
    <mergeCell ref="AO32:AU32"/>
    <mergeCell ref="AY32:BE32"/>
    <mergeCell ref="BD35:BF35"/>
    <mergeCell ref="F36:H36"/>
    <mergeCell ref="P36:R36"/>
    <mergeCell ref="Z36:AB36"/>
    <mergeCell ref="AJ36:AL36"/>
    <mergeCell ref="AT36:AV36"/>
    <mergeCell ref="BD36:BF36"/>
    <mergeCell ref="AY33:AZ36"/>
    <mergeCell ref="F35:H35"/>
    <mergeCell ref="P35:R35"/>
    <mergeCell ref="Z23:AB23"/>
    <mergeCell ref="AJ23:AL23"/>
    <mergeCell ref="AT23:AV23"/>
    <mergeCell ref="AY26:BE26"/>
    <mergeCell ref="A27:B30"/>
    <mergeCell ref="K27:L30"/>
    <mergeCell ref="U27:V30"/>
    <mergeCell ref="AE27:AF30"/>
    <mergeCell ref="AO27:AP30"/>
    <mergeCell ref="AY27:AZ30"/>
    <mergeCell ref="F29:H29"/>
    <mergeCell ref="P29:R29"/>
    <mergeCell ref="Z29:AB29"/>
    <mergeCell ref="AJ29:AL29"/>
    <mergeCell ref="AT29:AV29"/>
    <mergeCell ref="BD29:BF29"/>
    <mergeCell ref="F30:H30"/>
    <mergeCell ref="P30:R30"/>
    <mergeCell ref="Z30:AB30"/>
    <mergeCell ref="A26:G26"/>
    <mergeCell ref="K26:Q26"/>
    <mergeCell ref="U26:AA26"/>
    <mergeCell ref="AE26:AK26"/>
    <mergeCell ref="AO26:AU26"/>
    <mergeCell ref="A21:B24"/>
    <mergeCell ref="K21:L24"/>
    <mergeCell ref="U21:V24"/>
    <mergeCell ref="AE21:AF24"/>
    <mergeCell ref="AO21:AP24"/>
    <mergeCell ref="AJ18:AL18"/>
    <mergeCell ref="AT18:AV18"/>
    <mergeCell ref="BD18:BF18"/>
    <mergeCell ref="A20:G20"/>
    <mergeCell ref="K20:Q20"/>
    <mergeCell ref="U20:AA20"/>
    <mergeCell ref="AE20:AK20"/>
    <mergeCell ref="AO20:AU20"/>
    <mergeCell ref="AY20:BE20"/>
    <mergeCell ref="BD23:BF23"/>
    <mergeCell ref="F24:H24"/>
    <mergeCell ref="P24:R24"/>
    <mergeCell ref="Z24:AB24"/>
    <mergeCell ref="AJ24:AL24"/>
    <mergeCell ref="AT24:AV24"/>
    <mergeCell ref="BD24:BF24"/>
    <mergeCell ref="AY21:AZ24"/>
    <mergeCell ref="F23:H23"/>
    <mergeCell ref="P23:R23"/>
    <mergeCell ref="Z11:AB11"/>
    <mergeCell ref="AJ11:AL11"/>
    <mergeCell ref="AT11:AV11"/>
    <mergeCell ref="AY14:BE14"/>
    <mergeCell ref="A15:B18"/>
    <mergeCell ref="K15:L18"/>
    <mergeCell ref="U15:V18"/>
    <mergeCell ref="AE15:AF18"/>
    <mergeCell ref="AO15:AP18"/>
    <mergeCell ref="AY15:AZ18"/>
    <mergeCell ref="F17:H17"/>
    <mergeCell ref="P17:R17"/>
    <mergeCell ref="Z17:AB17"/>
    <mergeCell ref="AJ17:AL17"/>
    <mergeCell ref="AT17:AV17"/>
    <mergeCell ref="BD17:BF17"/>
    <mergeCell ref="F18:H18"/>
    <mergeCell ref="P18:R18"/>
    <mergeCell ref="Z18:AB18"/>
    <mergeCell ref="A14:G14"/>
    <mergeCell ref="K14:Q14"/>
    <mergeCell ref="U14:AA14"/>
    <mergeCell ref="AE14:AK14"/>
    <mergeCell ref="AO14:AU14"/>
    <mergeCell ref="A9:B12"/>
    <mergeCell ref="K9:L12"/>
    <mergeCell ref="U9:V12"/>
    <mergeCell ref="AE9:AF12"/>
    <mergeCell ref="AO9:AP12"/>
    <mergeCell ref="AJ6:AL6"/>
    <mergeCell ref="AT6:AV6"/>
    <mergeCell ref="BD6:BF6"/>
    <mergeCell ref="A8:G8"/>
    <mergeCell ref="K8:Q8"/>
    <mergeCell ref="U8:AA8"/>
    <mergeCell ref="AE8:AK8"/>
    <mergeCell ref="AO8:AU8"/>
    <mergeCell ref="AY8:BE8"/>
    <mergeCell ref="BD11:BF11"/>
    <mergeCell ref="F12:H12"/>
    <mergeCell ref="P12:R12"/>
    <mergeCell ref="Z12:AB12"/>
    <mergeCell ref="AJ12:AL12"/>
    <mergeCell ref="AT12:AV12"/>
    <mergeCell ref="BD12:BF12"/>
    <mergeCell ref="AY9:AZ12"/>
    <mergeCell ref="F11:H11"/>
    <mergeCell ref="P11:R11"/>
    <mergeCell ref="AY2:BE2"/>
    <mergeCell ref="A3:B6"/>
    <mergeCell ref="K3:L6"/>
    <mergeCell ref="U3:V6"/>
    <mergeCell ref="AE3:AF6"/>
    <mergeCell ref="AO3:AP6"/>
    <mergeCell ref="AY3:AZ6"/>
    <mergeCell ref="F5:H5"/>
    <mergeCell ref="P5:R5"/>
    <mergeCell ref="Z5:AB5"/>
    <mergeCell ref="AJ5:AL5"/>
    <mergeCell ref="AT5:AV5"/>
    <mergeCell ref="BD5:BF5"/>
    <mergeCell ref="F6:H6"/>
    <mergeCell ref="P6:R6"/>
    <mergeCell ref="Z6:AB6"/>
    <mergeCell ref="A2:G2"/>
    <mergeCell ref="K2:Q2"/>
    <mergeCell ref="U2:AA2"/>
    <mergeCell ref="AE2:AK2"/>
    <mergeCell ref="AO2:AU2"/>
  </mergeCells>
  <phoneticPr fontId="10" type="noConversion"/>
  <dataValidations disablePrompts="1" count="1">
    <dataValidation type="list" allowBlank="1" showErrorMessage="1" sqref="M10 BA64 M34 AQ76 W82 AQ82 BA52 AQ22 AQ10 W46 M58 AG22 AG34 BA76 AQ100 C88 M40 C70 M28 M82 M88 M100 M112 M118 M124 W124 W130 BA82 BA94 AQ106 C4 C106 AQ46 W76 C100 W94 AQ40 W118 W22 W34 M16 AG16 C40 M4 AQ52 BA22 C34 C10 AG58 C28 AG40 AG70 C52 W10 M76 BA58 BA46 W58 W88 AQ88 BA70 M52 AG52 M46 C22 AQ34 W112 W40 W70 AQ4 AG64 W64 BA34 AQ64 M64 W28 W4 BA4 BA10 W16 C16 C94 BA40 M70 W52 AQ58 AG46 AG10 C58 AQ70 AG4 AG76 W100 BA88 AQ16 C46 AQ28 AG28 AQ94 M94 C82 M22 C76 M106 C64 W106 BA28 BA16 AG82" xr:uid="{00000000-0002-0000-0000-000000000000}">
      <formula1>"-1,0,1,2,3,4"</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DCE61-3D13-4CD2-9F31-6BE79882DB96}">
  <sheetPr>
    <outlinePr summaryBelow="0" summaryRight="0"/>
  </sheetPr>
  <dimension ref="A1:AN54"/>
  <sheetViews>
    <sheetView workbookViewId="0">
      <selection activeCell="T34" sqref="T34"/>
    </sheetView>
  </sheetViews>
  <sheetFormatPr defaultColWidth="14" defaultRowHeight="13" x14ac:dyDescent="0.3"/>
  <cols>
    <col min="1" max="40" width="9" customWidth="1"/>
  </cols>
  <sheetData>
    <row r="1" spans="1:40" ht="16" customHeight="1" x14ac:dyDescent="0.3">
      <c r="A1" s="1" t="s">
        <v>9</v>
      </c>
      <c r="B1" s="73" t="s">
        <v>154</v>
      </c>
      <c r="C1" s="1" t="s">
        <v>155</v>
      </c>
      <c r="E1" s="74" t="s">
        <v>156</v>
      </c>
      <c r="H1" s="1" t="s">
        <v>157</v>
      </c>
      <c r="I1" s="1">
        <f>I2+I3+I4+I5+I6+I7</f>
        <v>1500</v>
      </c>
      <c r="K1" s="74" t="s">
        <v>158</v>
      </c>
      <c r="N1" s="1" t="s">
        <v>157</v>
      </c>
      <c r="O1" s="1">
        <f>O2+O3+O4+O5+O6+O7</f>
        <v>1457</v>
      </c>
      <c r="Q1" s="4"/>
      <c r="R1" s="4"/>
      <c r="S1" s="4"/>
      <c r="T1" s="3" t="s">
        <v>157</v>
      </c>
      <c r="U1" s="3">
        <f>U2+U3+U4+U5+U6+U7</f>
        <v>1413</v>
      </c>
      <c r="V1" s="4"/>
      <c r="W1" s="72" t="s">
        <v>159</v>
      </c>
      <c r="X1" s="4"/>
      <c r="Y1" s="4"/>
      <c r="Z1" s="3" t="s">
        <v>157</v>
      </c>
      <c r="AA1" s="3">
        <f>AA2+AA3+AA4+AA5+AA6+AA7</f>
        <v>1360</v>
      </c>
      <c r="AB1" s="4"/>
      <c r="AC1" s="71" t="s">
        <v>160</v>
      </c>
      <c r="AD1" s="3"/>
      <c r="AE1" s="3"/>
      <c r="AF1" s="3" t="s">
        <v>157</v>
      </c>
      <c r="AG1" s="59">
        <f>AG2+AG3+AG4+AG5+AG6+AG7</f>
        <v>1446</v>
      </c>
      <c r="AH1" s="4"/>
      <c r="AI1" s="117" t="s">
        <v>161</v>
      </c>
      <c r="AJ1" s="117"/>
      <c r="AK1" s="117"/>
      <c r="AL1" s="117"/>
      <c r="AM1" s="117"/>
      <c r="AN1" s="4"/>
    </row>
    <row r="2" spans="1:40" ht="16" customHeight="1" x14ac:dyDescent="0.3">
      <c r="A2" s="1" t="s">
        <v>10</v>
      </c>
      <c r="B2" s="58" t="s">
        <v>162</v>
      </c>
      <c r="C2" s="57">
        <v>1</v>
      </c>
      <c r="E2" s="114" t="str">
        <f>借卡计算!E23</f>
        <v>【借】新たな挑戦の成功ですわ！（黄书签）</v>
      </c>
      <c r="F2" s="100"/>
      <c r="G2" s="100"/>
      <c r="H2" s="100"/>
      <c r="I2" s="1">
        <f>借卡计算!I23</f>
        <v>229</v>
      </c>
      <c r="J2" s="1"/>
      <c r="K2" s="114" t="str">
        <f>借卡计算!K23</f>
        <v>【借】新たな挑戦の成功ですわ！（黄书签）</v>
      </c>
      <c r="L2" s="100"/>
      <c r="M2" s="100"/>
      <c r="N2" s="100"/>
      <c r="O2" s="1">
        <f>借卡计算!O23</f>
        <v>229</v>
      </c>
      <c r="P2" s="1"/>
      <c r="Q2" s="118" t="str">
        <f>借卡计算!Q23</f>
        <v>【借】そろそろ焼けたかな？（红薯）</v>
      </c>
      <c r="R2" s="118"/>
      <c r="S2" s="118"/>
      <c r="T2" s="118"/>
      <c r="U2" s="3">
        <f>借卡计算!U23</f>
        <v>222</v>
      </c>
      <c r="V2" s="3"/>
      <c r="W2" s="119" t="str">
        <f>借卡计算!W23</f>
        <v>【借】新たな挑戦の成功ですわ！（黄书签）</v>
      </c>
      <c r="X2" s="119"/>
      <c r="Y2" s="119"/>
      <c r="Z2" s="119"/>
      <c r="AA2" s="3">
        <f>借卡计算!AA23</f>
        <v>229</v>
      </c>
      <c r="AB2" s="4"/>
      <c r="AC2" s="119" t="str">
        <f>借卡计算!AC23</f>
        <v>【借】新たな挑戦の成功ですわ！（黄书签）</v>
      </c>
      <c r="AD2" s="119"/>
      <c r="AE2" s="119"/>
      <c r="AF2" s="119"/>
      <c r="AG2" s="59">
        <f>借卡计算!AG23</f>
        <v>229</v>
      </c>
      <c r="AH2" s="4"/>
      <c r="AI2" s="120" t="s">
        <v>163</v>
      </c>
      <c r="AJ2" s="120"/>
      <c r="AK2" s="120"/>
      <c r="AL2" s="120"/>
      <c r="AM2" s="120"/>
      <c r="AN2" s="4"/>
    </row>
    <row r="3" spans="1:40" ht="16" customHeight="1" x14ac:dyDescent="0.3">
      <c r="A3" s="1" t="s">
        <v>164</v>
      </c>
      <c r="B3" s="68" t="s">
        <v>40</v>
      </c>
      <c r="C3" s="75">
        <v>1</v>
      </c>
      <c r="E3" s="114" t="str">
        <f>借卡计算!E24</f>
        <v>推し活なひととき、だね！（猫头鹰）</v>
      </c>
      <c r="F3" s="100"/>
      <c r="G3" s="100"/>
      <c r="H3" s="100"/>
      <c r="I3" s="1">
        <f>借卡计算!I24</f>
        <v>301</v>
      </c>
      <c r="J3" s="1"/>
      <c r="K3" s="114" t="str">
        <f>借卡计算!K24</f>
        <v>推し活なひととき、だね！（猫头鹰）</v>
      </c>
      <c r="L3" s="100"/>
      <c r="M3" s="100"/>
      <c r="N3" s="100"/>
      <c r="O3" s="1">
        <f>借卡计算!O24</f>
        <v>301</v>
      </c>
      <c r="P3" s="1"/>
      <c r="Q3" s="118" t="str">
        <f>借卡计算!Q24</f>
        <v>利用し合うのが友達！（黄毛摸鱼）</v>
      </c>
      <c r="R3" s="118"/>
      <c r="S3" s="118"/>
      <c r="T3" s="118"/>
      <c r="U3" s="3">
        <f>借卡计算!U24</f>
        <v>254</v>
      </c>
      <c r="V3" s="3"/>
      <c r="W3" s="119" t="str">
        <f>借卡计算!W24</f>
        <v>推し活なひととき、だね！（猫头鹰）</v>
      </c>
      <c r="X3" s="119"/>
      <c r="Y3" s="119"/>
      <c r="Z3" s="119"/>
      <c r="AA3" s="3">
        <f>借卡计算!AA24</f>
        <v>301</v>
      </c>
      <c r="AB3" s="4"/>
      <c r="AC3" s="119" t="str">
        <f>借卡计算!AC24</f>
        <v>推し活なひととき、だね！（猫头鹰）</v>
      </c>
      <c r="AD3" s="119"/>
      <c r="AE3" s="119"/>
      <c r="AF3" s="119"/>
      <c r="AG3" s="59">
        <f>借卡计算!AG24</f>
        <v>301</v>
      </c>
      <c r="AH3" s="4"/>
      <c r="AI3" s="121" t="s">
        <v>15</v>
      </c>
      <c r="AJ3" s="121"/>
      <c r="AK3" s="76">
        <v>245</v>
      </c>
      <c r="AL3" s="47">
        <v>145</v>
      </c>
      <c r="AM3" s="48">
        <v>223</v>
      </c>
      <c r="AN3" s="4"/>
    </row>
    <row r="4" spans="1:40" ht="16" customHeight="1" x14ac:dyDescent="0.3">
      <c r="A4" s="1" t="s">
        <v>5</v>
      </c>
      <c r="B4" s="68" t="s">
        <v>165</v>
      </c>
      <c r="C4" s="67">
        <v>1</v>
      </c>
      <c r="E4" s="114" t="str">
        <f>借卡计算!E25</f>
        <v>ぜったい追いついてやる！（红叶）</v>
      </c>
      <c r="F4" s="100"/>
      <c r="G4" s="100"/>
      <c r="H4" s="100"/>
      <c r="I4" s="1">
        <f>借卡计算!I25</f>
        <v>269</v>
      </c>
      <c r="J4" s="1"/>
      <c r="K4" s="114" t="str">
        <f>借卡计算!K25</f>
        <v>ぜったい追いついてやる！（红叶）</v>
      </c>
      <c r="L4" s="100"/>
      <c r="M4" s="100"/>
      <c r="N4" s="100"/>
      <c r="O4" s="1">
        <f>借卡计算!O25</f>
        <v>269</v>
      </c>
      <c r="P4" s="1"/>
      <c r="Q4" s="118" t="str">
        <f>借卡计算!Q25</f>
        <v>千奈の恩返し（恩返）</v>
      </c>
      <c r="R4" s="118"/>
      <c r="S4" s="118"/>
      <c r="T4" s="118"/>
      <c r="U4" s="3">
        <f>借卡计算!U25</f>
        <v>225</v>
      </c>
      <c r="V4" s="3"/>
      <c r="W4" s="118" t="str">
        <f>借卡计算!W25</f>
        <v>そろそろ焼けたかな？（红薯）</v>
      </c>
      <c r="X4" s="118"/>
      <c r="Y4" s="118"/>
      <c r="Z4" s="118"/>
      <c r="AA4" s="3">
        <f>借卡计算!AA25</f>
        <v>222</v>
      </c>
      <c r="AB4" s="4"/>
      <c r="AC4" s="122" t="str">
        <f>借卡计算!AC25</f>
        <v>そろそろ焼けたかな？（红薯）</v>
      </c>
      <c r="AD4" s="122"/>
      <c r="AE4" s="122"/>
      <c r="AF4" s="122"/>
      <c r="AG4" s="59">
        <f>借卡计算!AG25</f>
        <v>222</v>
      </c>
      <c r="AH4" s="4"/>
      <c r="AI4" s="123" t="s">
        <v>17</v>
      </c>
      <c r="AJ4" s="123"/>
      <c r="AK4" s="59">
        <v>31.2</v>
      </c>
      <c r="AL4" s="59">
        <v>7</v>
      </c>
      <c r="AM4" s="60">
        <v>38.6</v>
      </c>
      <c r="AN4" s="4"/>
    </row>
    <row r="5" spans="1:40" ht="16" customHeight="1" x14ac:dyDescent="0.3">
      <c r="A5" s="1" t="s">
        <v>166</v>
      </c>
      <c r="B5" s="58" t="s">
        <v>167</v>
      </c>
      <c r="C5" s="77" t="s">
        <v>168</v>
      </c>
      <c r="E5" s="116" t="str">
        <f>借卡计算!E26</f>
        <v>そろそろ焼けたかな？（红薯）</v>
      </c>
      <c r="F5" s="100"/>
      <c r="G5" s="100"/>
      <c r="H5" s="100"/>
      <c r="I5" s="1">
        <f>借卡计算!I26</f>
        <v>222</v>
      </c>
      <c r="J5" s="1"/>
      <c r="K5" s="116" t="str">
        <f>借卡计算!K26</f>
        <v>そろそろ焼けたかな？（红薯）</v>
      </c>
      <c r="L5" s="100"/>
      <c r="M5" s="100"/>
      <c r="N5" s="100"/>
      <c r="O5" s="1">
        <f>借卡计算!O26</f>
        <v>222</v>
      </c>
      <c r="P5" s="1"/>
      <c r="Q5" s="119" t="str">
        <f>借卡计算!Q26</f>
        <v>新たな挑戦の成功ですわ！（黄书签）</v>
      </c>
      <c r="R5" s="119"/>
      <c r="S5" s="119"/>
      <c r="T5" s="119"/>
      <c r="U5" s="3">
        <f>借卡计算!U26</f>
        <v>229</v>
      </c>
      <c r="V5" s="3"/>
      <c r="W5" s="118" t="str">
        <f>借卡计算!W26</f>
        <v>利用し合うのが友達！（黄毛摸鱼）</v>
      </c>
      <c r="X5" s="118"/>
      <c r="Y5" s="118"/>
      <c r="Z5" s="118"/>
      <c r="AA5" s="3">
        <f>借卡计算!AA26</f>
        <v>254</v>
      </c>
      <c r="AB5" s="4"/>
      <c r="AC5" s="118" t="str">
        <f>借卡计算!AC26</f>
        <v>利用し合うのが友達！（黄毛摸鱼）</v>
      </c>
      <c r="AD5" s="118"/>
      <c r="AE5" s="118"/>
      <c r="AF5" s="118"/>
      <c r="AG5" s="59">
        <f>借卡计算!AG26</f>
        <v>254</v>
      </c>
      <c r="AH5" s="4"/>
      <c r="AI5" s="124" t="s">
        <v>169</v>
      </c>
      <c r="AJ5" s="124"/>
      <c r="AK5" s="124"/>
      <c r="AL5" s="124"/>
      <c r="AM5" s="124"/>
      <c r="AN5" s="4"/>
    </row>
    <row r="6" spans="1:40" ht="16" customHeight="1" x14ac:dyDescent="0.3">
      <c r="A6" s="99" t="s">
        <v>170</v>
      </c>
      <c r="B6" s="100"/>
      <c r="C6" s="73" t="s">
        <v>165</v>
      </c>
      <c r="E6" s="116" t="str">
        <f>借卡计算!E27</f>
        <v>利用し合うのが友達！（黄毛摸鱼）</v>
      </c>
      <c r="F6" s="100"/>
      <c r="G6" s="100"/>
      <c r="H6" s="100"/>
      <c r="I6" s="1">
        <f>借卡计算!I27</f>
        <v>254</v>
      </c>
      <c r="J6" s="1"/>
      <c r="K6" s="116" t="str">
        <f>借卡计算!K27</f>
        <v>利用し合うのが友達！（黄毛摸鱼）</v>
      </c>
      <c r="L6" s="100"/>
      <c r="M6" s="100"/>
      <c r="N6" s="100"/>
      <c r="O6" s="1">
        <f>借卡计算!O27</f>
        <v>254</v>
      </c>
      <c r="P6" s="1"/>
      <c r="Q6" s="119" t="str">
        <f>借卡计算!Q27</f>
        <v>推し活なひととき、だね！（猫头鹰）</v>
      </c>
      <c r="R6" s="119"/>
      <c r="S6" s="119"/>
      <c r="T6" s="119"/>
      <c r="U6" s="3">
        <f>借卡计算!U27</f>
        <v>301</v>
      </c>
      <c r="V6" s="3"/>
      <c r="W6" s="125" t="str">
        <f>借卡计算!W27</f>
        <v>2名様、ご案内～♪（毛球偷吃）</v>
      </c>
      <c r="X6" s="125"/>
      <c r="Y6" s="125"/>
      <c r="Z6" s="125"/>
      <c r="AA6" s="3">
        <f>借卡计算!AA27</f>
        <v>182</v>
      </c>
      <c r="AB6" s="4"/>
      <c r="AC6" s="118" t="str">
        <f>借卡计算!AC27</f>
        <v>千奈の恩返し（恩返）</v>
      </c>
      <c r="AD6" s="118"/>
      <c r="AE6" s="118"/>
      <c r="AF6" s="118"/>
      <c r="AG6" s="59">
        <f>借卡计算!AG27</f>
        <v>225</v>
      </c>
      <c r="AH6" s="4"/>
      <c r="AI6" s="126" t="s">
        <v>171</v>
      </c>
      <c r="AJ6" s="126"/>
      <c r="AK6" s="10">
        <v>47</v>
      </c>
      <c r="AL6" s="10">
        <v>0</v>
      </c>
      <c r="AM6" s="60">
        <v>47</v>
      </c>
      <c r="AN6" s="4"/>
    </row>
    <row r="7" spans="1:40" ht="16" customHeight="1" x14ac:dyDescent="0.3">
      <c r="E7" s="116" t="str">
        <f>借卡计算!E28</f>
        <v>千奈の恩返し（恩返）</v>
      </c>
      <c r="F7" s="100"/>
      <c r="G7" s="100"/>
      <c r="H7" s="100"/>
      <c r="I7" s="1">
        <f>借卡计算!I28</f>
        <v>225</v>
      </c>
      <c r="J7" s="1"/>
      <c r="K7" s="115" t="str">
        <f>借卡计算!K28</f>
        <v>2名様、ご案内～♪（毛球偷吃）</v>
      </c>
      <c r="L7" s="100"/>
      <c r="M7" s="100"/>
      <c r="N7" s="100"/>
      <c r="O7" s="1">
        <f>借卡计算!O28</f>
        <v>182</v>
      </c>
      <c r="P7" s="1"/>
      <c r="Q7" s="125" t="str">
        <f>借卡计算!Q28</f>
        <v>2名様、ご案内～♪（毛球偷吃）</v>
      </c>
      <c r="R7" s="125"/>
      <c r="S7" s="125"/>
      <c r="T7" s="125"/>
      <c r="U7" s="3">
        <f>借卡计算!U28</f>
        <v>182</v>
      </c>
      <c r="V7" s="3"/>
      <c r="W7" s="125" t="str">
        <f>借卡计算!W28</f>
        <v>屈辱の2位（马给马给）</v>
      </c>
      <c r="X7" s="125"/>
      <c r="Y7" s="125"/>
      <c r="Z7" s="125"/>
      <c r="AA7" s="3">
        <f>借卡计算!AA28</f>
        <v>172</v>
      </c>
      <c r="AB7" s="4"/>
      <c r="AC7" s="118" t="str">
        <f>借卡计算!AC28</f>
        <v>夏を満喫するわよ！（水枪）</v>
      </c>
      <c r="AD7" s="118"/>
      <c r="AE7" s="118"/>
      <c r="AF7" s="118"/>
      <c r="AG7" s="59">
        <f>借卡计算!AG28</f>
        <v>215</v>
      </c>
      <c r="AH7" s="4"/>
      <c r="AI7" s="124" t="s">
        <v>8</v>
      </c>
      <c r="AJ7" s="124"/>
      <c r="AK7" s="10">
        <v>0</v>
      </c>
      <c r="AL7" s="10">
        <v>0</v>
      </c>
      <c r="AM7" s="60">
        <v>7</v>
      </c>
      <c r="AN7" s="4"/>
    </row>
    <row r="8" spans="1:40" ht="16" customHeight="1" x14ac:dyDescent="0.3">
      <c r="Q8" s="4"/>
      <c r="R8" s="4"/>
      <c r="S8" s="4"/>
      <c r="T8" s="4"/>
      <c r="U8" s="4"/>
      <c r="V8" s="4"/>
      <c r="W8" s="4"/>
      <c r="X8" s="4"/>
      <c r="Y8" s="4"/>
      <c r="Z8" s="4"/>
      <c r="AA8" s="4"/>
      <c r="AB8" s="4"/>
      <c r="AC8" s="4"/>
      <c r="AD8" s="4"/>
      <c r="AE8" s="4"/>
      <c r="AF8" s="4"/>
      <c r="AG8" s="4"/>
      <c r="AH8" s="4"/>
      <c r="AI8" s="127" t="s">
        <v>172</v>
      </c>
      <c r="AJ8" s="127"/>
      <c r="AK8" s="124">
        <v>40</v>
      </c>
      <c r="AL8" s="124"/>
      <c r="AM8" s="124"/>
      <c r="AN8" s="4"/>
    </row>
    <row r="9" spans="1:40" ht="17" customHeight="1" x14ac:dyDescent="0.3">
      <c r="D9" s="99" t="s">
        <v>173</v>
      </c>
      <c r="E9" s="100"/>
      <c r="F9" s="100"/>
      <c r="G9" s="100"/>
      <c r="I9" s="99" t="s">
        <v>174</v>
      </c>
      <c r="J9" s="100"/>
      <c r="K9" s="100"/>
      <c r="L9" s="100"/>
      <c r="Q9" s="128" t="str">
        <f>IF(B1=B2,"请输入不同的第一第二属性","")</f>
        <v/>
      </c>
      <c r="R9" s="128"/>
      <c r="S9" s="128"/>
      <c r="T9" s="128"/>
      <c r="U9" s="128"/>
      <c r="V9" s="4"/>
      <c r="W9" s="4"/>
      <c r="X9" s="4"/>
      <c r="Y9" s="4"/>
      <c r="Z9" s="4"/>
      <c r="AA9" s="4"/>
      <c r="AB9" s="4"/>
      <c r="AC9" s="4"/>
      <c r="AD9" s="4"/>
      <c r="AE9" s="4"/>
      <c r="AF9" s="4"/>
      <c r="AG9" s="4"/>
      <c r="AH9" s="4"/>
      <c r="AI9" s="44" t="s">
        <v>175</v>
      </c>
      <c r="AJ9" s="42">
        <v>100</v>
      </c>
      <c r="AK9" s="43">
        <v>1</v>
      </c>
      <c r="AL9" s="41">
        <v>0</v>
      </c>
      <c r="AM9" s="45">
        <v>0</v>
      </c>
      <c r="AN9" s="4"/>
    </row>
    <row r="10" spans="1:40" ht="16" customHeight="1" x14ac:dyDescent="0.3">
      <c r="A10" s="52"/>
      <c r="B10" s="1" t="s">
        <v>176</v>
      </c>
      <c r="D10" s="52" t="s">
        <v>177</v>
      </c>
      <c r="E10" s="1" t="s">
        <v>178</v>
      </c>
      <c r="F10" s="1" t="s">
        <v>179</v>
      </c>
      <c r="G10" s="1" t="s">
        <v>180</v>
      </c>
      <c r="I10" s="1" t="s">
        <v>181</v>
      </c>
      <c r="J10" s="1" t="s">
        <v>182</v>
      </c>
      <c r="K10" s="1" t="s">
        <v>183</v>
      </c>
      <c r="L10" s="1" t="s">
        <v>184</v>
      </c>
      <c r="M10" s="1" t="s">
        <v>185</v>
      </c>
      <c r="N10" s="53" t="s">
        <v>186</v>
      </c>
      <c r="Q10" s="128"/>
      <c r="R10" s="128"/>
      <c r="S10" s="128"/>
      <c r="T10" s="128"/>
      <c r="U10" s="128"/>
      <c r="V10" s="4"/>
      <c r="W10" s="4"/>
      <c r="X10" s="4"/>
      <c r="Y10" s="4"/>
      <c r="Z10" s="4"/>
      <c r="AA10" s="4"/>
      <c r="AB10" s="4"/>
      <c r="AC10" s="4"/>
      <c r="AD10" s="4"/>
      <c r="AE10" s="4"/>
      <c r="AF10" s="4"/>
      <c r="AG10" s="4"/>
      <c r="AH10" s="4"/>
      <c r="AI10" s="44" t="s">
        <v>187</v>
      </c>
      <c r="AJ10" s="42">
        <v>80</v>
      </c>
      <c r="AK10" s="43">
        <v>0</v>
      </c>
      <c r="AL10" s="41">
        <v>1</v>
      </c>
      <c r="AM10" s="45">
        <v>0</v>
      </c>
      <c r="AN10" s="4"/>
    </row>
    <row r="11" spans="1:40" ht="16" customHeight="1" x14ac:dyDescent="0.3">
      <c r="A11" t="s">
        <v>188</v>
      </c>
      <c r="B11" s="1">
        <f>IF($B$5="单极",850,900)</f>
        <v>900</v>
      </c>
      <c r="D11">
        <v>850</v>
      </c>
      <c r="E11" s="1">
        <v>850</v>
      </c>
      <c r="F11">
        <v>850</v>
      </c>
      <c r="G11">
        <v>850</v>
      </c>
      <c r="I11" s="1">
        <f t="shared" ref="I11:N11" si="0">IF($B$5="单极",850,900)</f>
        <v>900</v>
      </c>
      <c r="J11" s="1">
        <f t="shared" si="0"/>
        <v>900</v>
      </c>
      <c r="K11" s="1">
        <f t="shared" si="0"/>
        <v>900</v>
      </c>
      <c r="L11" s="1">
        <f t="shared" si="0"/>
        <v>900</v>
      </c>
      <c r="M11" s="1">
        <f t="shared" si="0"/>
        <v>900</v>
      </c>
      <c r="N11" s="1">
        <f t="shared" si="0"/>
        <v>900</v>
      </c>
      <c r="Q11" s="4"/>
      <c r="R11" s="4"/>
      <c r="S11" s="4"/>
      <c r="T11" s="4"/>
      <c r="U11" s="4"/>
      <c r="V11" s="4"/>
      <c r="W11" s="4"/>
      <c r="X11" s="4"/>
      <c r="Y11" s="4"/>
      <c r="Z11" s="4"/>
      <c r="AA11" s="4"/>
      <c r="AB11" s="4"/>
      <c r="AC11" s="4"/>
      <c r="AD11" s="4"/>
      <c r="AE11" s="4"/>
      <c r="AF11" s="4"/>
      <c r="AG11" s="4"/>
      <c r="AH11" s="4"/>
      <c r="AI11" s="44" t="s">
        <v>189</v>
      </c>
      <c r="AJ11" s="42">
        <v>100</v>
      </c>
      <c r="AK11" s="43">
        <v>1</v>
      </c>
      <c r="AL11" s="41">
        <v>0</v>
      </c>
      <c r="AM11" s="45">
        <v>0</v>
      </c>
      <c r="AN11" s="4"/>
    </row>
    <row r="12" spans="1:40" ht="16" customHeight="1" x14ac:dyDescent="0.3">
      <c r="A12" t="s">
        <v>190</v>
      </c>
      <c r="B12" s="1">
        <f>IF($B$5="单极",800,680)</f>
        <v>680</v>
      </c>
      <c r="D12">
        <v>850</v>
      </c>
      <c r="E12" s="1">
        <v>850</v>
      </c>
      <c r="F12">
        <v>850</v>
      </c>
      <c r="G12">
        <v>850</v>
      </c>
      <c r="I12" s="1">
        <f t="shared" ref="I12:N12" si="1">IF($B$5="单极",800,680)</f>
        <v>680</v>
      </c>
      <c r="J12" s="1">
        <f t="shared" si="1"/>
        <v>680</v>
      </c>
      <c r="K12" s="1">
        <f t="shared" si="1"/>
        <v>680</v>
      </c>
      <c r="L12" s="1">
        <f t="shared" si="1"/>
        <v>680</v>
      </c>
      <c r="M12" s="1">
        <f t="shared" si="1"/>
        <v>680</v>
      </c>
      <c r="N12" s="1">
        <f t="shared" si="1"/>
        <v>680</v>
      </c>
      <c r="Q12" s="4"/>
      <c r="R12" s="4"/>
      <c r="S12" s="4"/>
      <c r="T12" s="4"/>
      <c r="U12" s="4"/>
      <c r="V12" s="4"/>
      <c r="W12" s="4"/>
      <c r="X12" s="4"/>
      <c r="Y12" s="4"/>
      <c r="Z12" s="4"/>
      <c r="AA12" s="4"/>
      <c r="AB12" s="4"/>
      <c r="AC12" s="4"/>
      <c r="AD12" s="4"/>
      <c r="AE12" s="4"/>
      <c r="AF12" s="4"/>
      <c r="AG12" s="4"/>
      <c r="AH12" s="4"/>
      <c r="AI12" s="44" t="s">
        <v>191</v>
      </c>
      <c r="AJ12" s="42">
        <v>80</v>
      </c>
      <c r="AK12" s="43">
        <v>0</v>
      </c>
      <c r="AL12" s="41">
        <v>1</v>
      </c>
      <c r="AM12" s="45">
        <v>0</v>
      </c>
      <c r="AN12" s="4"/>
    </row>
    <row r="13" spans="1:40" ht="16" customHeight="1" x14ac:dyDescent="0.3">
      <c r="A13" t="s">
        <v>192</v>
      </c>
      <c r="B13" s="1">
        <f>IF($B$5="单极",190,250)</f>
        <v>250</v>
      </c>
      <c r="D13">
        <v>250</v>
      </c>
      <c r="E13" s="1">
        <v>250</v>
      </c>
      <c r="F13">
        <v>250</v>
      </c>
      <c r="G13">
        <v>250</v>
      </c>
      <c r="I13" s="1">
        <f t="shared" ref="I13:N13" si="2">IF($B$5="单极",190,250)</f>
        <v>250</v>
      </c>
      <c r="J13" s="1">
        <f t="shared" si="2"/>
        <v>250</v>
      </c>
      <c r="K13" s="1">
        <f t="shared" si="2"/>
        <v>250</v>
      </c>
      <c r="L13" s="1">
        <f t="shared" si="2"/>
        <v>250</v>
      </c>
      <c r="M13" s="1">
        <f t="shared" si="2"/>
        <v>250</v>
      </c>
      <c r="N13" s="1">
        <f t="shared" si="2"/>
        <v>250</v>
      </c>
      <c r="Q13" s="4"/>
      <c r="R13" s="4"/>
      <c r="S13" s="4"/>
      <c r="T13" s="4"/>
      <c r="U13" s="4"/>
      <c r="V13" s="4"/>
      <c r="W13" s="4"/>
      <c r="X13" s="4"/>
      <c r="Y13" s="4"/>
      <c r="Z13" s="4"/>
      <c r="AA13" s="4"/>
      <c r="AB13" s="4"/>
      <c r="AC13" s="4"/>
      <c r="AD13" s="4"/>
      <c r="AE13" s="4"/>
      <c r="AF13" s="4"/>
      <c r="AG13" s="4"/>
      <c r="AH13" s="4"/>
      <c r="AI13" s="44" t="s">
        <v>193</v>
      </c>
      <c r="AJ13" s="42">
        <v>80</v>
      </c>
      <c r="AK13" s="43">
        <v>0</v>
      </c>
      <c r="AL13" s="41">
        <v>1</v>
      </c>
      <c r="AM13" s="45">
        <v>0</v>
      </c>
      <c r="AN13" s="4"/>
    </row>
    <row r="14" spans="1:40" ht="16" customHeight="1" x14ac:dyDescent="0.3">
      <c r="A14" t="s">
        <v>194</v>
      </c>
      <c r="B14" s="1">
        <f>IF($B$5="单极",3,4)</f>
        <v>4</v>
      </c>
      <c r="D14">
        <v>4</v>
      </c>
      <c r="E14" s="1">
        <v>4</v>
      </c>
      <c r="F14">
        <v>4</v>
      </c>
      <c r="G14">
        <v>4</v>
      </c>
      <c r="I14" s="1">
        <f t="shared" ref="I14:N15" si="3">IF($B$5="单极",3,4)</f>
        <v>4</v>
      </c>
      <c r="J14" s="1">
        <f t="shared" si="3"/>
        <v>4</v>
      </c>
      <c r="K14" s="1">
        <f t="shared" si="3"/>
        <v>4</v>
      </c>
      <c r="L14" s="1">
        <f t="shared" si="3"/>
        <v>4</v>
      </c>
      <c r="M14" s="1">
        <f t="shared" si="3"/>
        <v>4</v>
      </c>
      <c r="N14" s="1">
        <f t="shared" si="3"/>
        <v>4</v>
      </c>
      <c r="Q14" s="4"/>
      <c r="R14" s="4"/>
      <c r="S14" s="4"/>
      <c r="T14" s="4"/>
      <c r="U14" s="4"/>
      <c r="V14" s="4"/>
      <c r="W14" s="4"/>
      <c r="X14" s="4"/>
      <c r="Y14" s="4"/>
      <c r="Z14" s="4"/>
      <c r="AA14" s="4"/>
      <c r="AB14" s="4"/>
      <c r="AC14" s="4"/>
      <c r="AD14" s="129" t="s">
        <v>195</v>
      </c>
      <c r="AE14" s="129"/>
      <c r="AF14" s="129"/>
      <c r="AG14" s="129"/>
      <c r="AH14" s="129"/>
      <c r="AI14" s="124" t="s">
        <v>196</v>
      </c>
      <c r="AJ14" s="124"/>
      <c r="AK14" s="38">
        <f>ROUNDUP(IF(B5="均衡",IF(B1="红",IF(AK15&lt;=1116,0.04766*AK15,IF(AK15&gt;=4124,92,0.0129*AK15+38.8)),IF(B2="红",IF(AK15&lt;=530,0.08314*AK15,IF(AK15&gt;=1917,76,0.023*AK15+31.9)),IF(AK15&lt;=323,0.11232*AK15,IF(AK15&gt;=1107,62,0.0328*AK15+25.7)))),IF(B1="红",IF(AK15&lt;=1577,0.04553*AK15,IF(AK15&gt;=4103,116,0.0175*AK15+44.2)),IF(B2="红",IF(AK15&lt;=542,0.07405*AK15,IF(AK15&gt;=1914,69,0.021*AK15+28.8)),IF(AK15&lt;=618,0.05239*AK15,IF(AK15&gt;=1066,46,0.0304*AK15+13.6))))),0)</f>
        <v>62</v>
      </c>
      <c r="AL14" s="39">
        <f>ROUNDUP(IF(B5="均衡",IF(B1="蓝",IF(AL15&lt;=1116,0.04766*AL15,IF(AL15&gt;=4124,92,0.0129*AL15+38.8)),IF(B2="蓝",IF(AL15&lt;=530,0.08314*AL15,IF(AL15&gt;=1917,76,0.023*AL15+31.9)),IF(AL15&lt;=323,0.11232*AL15,IF(AL15&gt;=1107,62,0.0328*AL15+25.7)))),IF(B1="蓝",IF(AL15&lt;=1577,0.04553*AL15,IF(AL15&gt;=4103,116,0.0175*AL15+44.2)),IF(B2="蓝",IF(AL15&lt;=542,0.07405*AL15,IF(AL15&gt;=1914,69,0.021*AL15+28.8)),IF(AL15&lt;=618,0.05239*AL15,IF(AL15&gt;=1066,46,0.0304*AL15+13.6))))),0)</f>
        <v>76</v>
      </c>
      <c r="AM14" s="40">
        <f>ROUNDUP(IF(B5="均衡",IF(B1="黄",IF(AM15&lt;=1116,0.04766*AM15,IF(AM15&gt;=4124,92,0.0129*AM15+38.8)),IF(B2="黄",IF(AM15&lt;=530,0.08314*AM15,IF(AM15&gt;=1917,76,0.023*AM15+31.9)),IF(AM15&lt;=323,0.11232*AM15,IF(AM15&gt;=1107,62,0.0328*AM15+25.7)))),IF(B1="黄",IF(AM15&lt;=1577,0.04553*AM15,IF(AM15&gt;=4103,116,0.0175*AM15+44.2)),IF(B2="黄",IF(AM15&lt;=542,0.07405*AM15,IF(AM15&gt;=1914,69,0.021*AM15+28.8)),IF(AM15&lt;=618,0.05239*AM15,IF(AM15&gt;=1066,46,0.0304*AM15+13.6))))),0)</f>
        <v>86</v>
      </c>
      <c r="AN14" s="4"/>
    </row>
    <row r="15" spans="1:40" ht="16" customHeight="1" x14ac:dyDescent="0.3">
      <c r="A15" t="s">
        <v>197</v>
      </c>
      <c r="B15" s="1">
        <f>IF($B$5="单极",3,4)</f>
        <v>4</v>
      </c>
      <c r="D15">
        <v>4</v>
      </c>
      <c r="E15" s="1">
        <v>4</v>
      </c>
      <c r="F15">
        <v>4</v>
      </c>
      <c r="G15">
        <v>4</v>
      </c>
      <c r="I15" s="1">
        <f t="shared" si="3"/>
        <v>4</v>
      </c>
      <c r="J15" s="1">
        <f t="shared" si="3"/>
        <v>4</v>
      </c>
      <c r="K15" s="1">
        <f t="shared" si="3"/>
        <v>4</v>
      </c>
      <c r="L15" s="1">
        <f t="shared" si="3"/>
        <v>4</v>
      </c>
      <c r="M15" s="1">
        <f t="shared" si="3"/>
        <v>4</v>
      </c>
      <c r="N15" s="1">
        <f t="shared" si="3"/>
        <v>4</v>
      </c>
      <c r="Q15" s="4"/>
      <c r="R15" s="4"/>
      <c r="S15" s="4"/>
      <c r="T15" s="4"/>
      <c r="U15" s="4"/>
      <c r="V15" s="4"/>
      <c r="W15" s="4"/>
      <c r="X15" s="4"/>
      <c r="Y15" s="4"/>
      <c r="Z15" s="4"/>
      <c r="AA15" s="4"/>
      <c r="AB15" s="4"/>
      <c r="AC15" s="4"/>
      <c r="AD15" s="4"/>
      <c r="AE15" s="4"/>
      <c r="AF15" s="4"/>
      <c r="AG15" s="4"/>
      <c r="AH15" s="4"/>
      <c r="AI15" s="124" t="s">
        <v>198</v>
      </c>
      <c r="AJ15" s="124"/>
      <c r="AK15" s="36">
        <v>3689</v>
      </c>
      <c r="AL15" s="10">
        <v>2823</v>
      </c>
      <c r="AM15" s="35">
        <v>3626</v>
      </c>
      <c r="AN15" s="4"/>
    </row>
    <row r="16" spans="1:40" ht="16" customHeight="1" x14ac:dyDescent="0.3">
      <c r="A16" t="s">
        <v>199</v>
      </c>
      <c r="B16" s="1">
        <v>0</v>
      </c>
      <c r="D16">
        <v>0</v>
      </c>
      <c r="E16" s="1">
        <v>0</v>
      </c>
      <c r="F16">
        <v>0</v>
      </c>
      <c r="G16">
        <v>0</v>
      </c>
      <c r="I16" s="1">
        <v>0</v>
      </c>
      <c r="J16" s="1">
        <v>0</v>
      </c>
      <c r="K16" s="1">
        <v>0</v>
      </c>
      <c r="L16" s="1">
        <v>0</v>
      </c>
      <c r="M16" s="1">
        <v>0</v>
      </c>
      <c r="N16" s="1">
        <v>0</v>
      </c>
      <c r="Q16" s="4"/>
      <c r="R16" s="4"/>
      <c r="S16" s="4"/>
      <c r="T16" s="4"/>
      <c r="U16" s="4"/>
      <c r="V16" s="4"/>
      <c r="W16" s="4"/>
      <c r="X16" s="4"/>
      <c r="Y16" s="4"/>
      <c r="Z16" s="4"/>
      <c r="AA16" s="4"/>
      <c r="AB16" s="4"/>
      <c r="AC16" s="4"/>
      <c r="AD16" s="4"/>
      <c r="AE16" s="4"/>
      <c r="AF16" s="4"/>
      <c r="AG16" s="4"/>
      <c r="AH16" s="4"/>
      <c r="AI16" s="124" t="s">
        <v>200</v>
      </c>
      <c r="AJ16" s="124"/>
      <c r="AK16" s="55">
        <f>AK14+INT(AK14*AK4/100)+INT(AK14*AK8/100)</f>
        <v>105</v>
      </c>
      <c r="AL16" s="54">
        <f>AL14+INT(AL14*AL4/100)+INT(AL14*AK8/100)</f>
        <v>111</v>
      </c>
      <c r="AM16" s="56">
        <f>AM14+INT(AM14*AM4/100)+INT(AM14*AK8/100)</f>
        <v>153</v>
      </c>
      <c r="AN16" s="4"/>
    </row>
    <row r="17" spans="1:40" ht="16" customHeight="1" x14ac:dyDescent="0.3">
      <c r="A17" t="s">
        <v>201</v>
      </c>
      <c r="B17" s="1">
        <f>IF($B$5="单极",4,3)</f>
        <v>3</v>
      </c>
      <c r="D17">
        <v>4</v>
      </c>
      <c r="E17" s="1">
        <v>4</v>
      </c>
      <c r="F17">
        <v>4</v>
      </c>
      <c r="G17">
        <v>4</v>
      </c>
      <c r="I17" s="1">
        <f t="shared" ref="I17:N18" si="4">IF($B$5="单极",4,3)</f>
        <v>3</v>
      </c>
      <c r="J17" s="1">
        <f t="shared" si="4"/>
        <v>3</v>
      </c>
      <c r="K17" s="1">
        <f t="shared" si="4"/>
        <v>3</v>
      </c>
      <c r="L17" s="1">
        <f t="shared" si="4"/>
        <v>3</v>
      </c>
      <c r="M17" s="1">
        <f t="shared" si="4"/>
        <v>3</v>
      </c>
      <c r="N17" s="1">
        <f t="shared" si="4"/>
        <v>3</v>
      </c>
      <c r="Q17" s="4"/>
      <c r="R17" s="4"/>
      <c r="S17" s="4"/>
      <c r="T17" s="4"/>
      <c r="U17" s="4"/>
      <c r="V17" s="4"/>
      <c r="W17" s="4"/>
      <c r="X17" s="4"/>
      <c r="Y17" s="4"/>
      <c r="Z17" s="4"/>
      <c r="AA17" s="4"/>
      <c r="AB17" s="4"/>
      <c r="AC17" s="4"/>
      <c r="AD17" s="4"/>
      <c r="AE17" s="4"/>
      <c r="AF17" s="4"/>
      <c r="AG17" s="4"/>
      <c r="AH17" s="4"/>
      <c r="AI17" s="44" t="s">
        <v>202</v>
      </c>
      <c r="AJ17" s="42">
        <v>120</v>
      </c>
      <c r="AK17" s="78">
        <v>0</v>
      </c>
      <c r="AL17" s="79">
        <v>0</v>
      </c>
      <c r="AM17" s="80">
        <v>1</v>
      </c>
      <c r="AN17" s="4"/>
    </row>
    <row r="18" spans="1:40" ht="16" customHeight="1" x14ac:dyDescent="0.3">
      <c r="A18" t="s">
        <v>203</v>
      </c>
      <c r="B18" s="1">
        <f>IF($B$5="单极",4,3)</f>
        <v>3</v>
      </c>
      <c r="D18">
        <v>4</v>
      </c>
      <c r="E18" s="1">
        <v>4</v>
      </c>
      <c r="F18">
        <v>4</v>
      </c>
      <c r="G18">
        <v>4</v>
      </c>
      <c r="I18" s="1">
        <f t="shared" si="4"/>
        <v>3</v>
      </c>
      <c r="J18" s="1">
        <f t="shared" si="4"/>
        <v>3</v>
      </c>
      <c r="K18" s="1">
        <f t="shared" si="4"/>
        <v>3</v>
      </c>
      <c r="L18" s="1">
        <f t="shared" si="4"/>
        <v>3</v>
      </c>
      <c r="M18" s="1">
        <f t="shared" si="4"/>
        <v>3</v>
      </c>
      <c r="N18" s="1">
        <f t="shared" si="4"/>
        <v>3</v>
      </c>
      <c r="Q18" s="4"/>
      <c r="R18" s="4"/>
      <c r="S18" s="4"/>
      <c r="T18" s="4"/>
      <c r="U18" s="4"/>
      <c r="V18" s="4"/>
      <c r="W18" s="4"/>
      <c r="X18" s="4"/>
      <c r="Y18" s="4"/>
      <c r="Z18" s="4"/>
      <c r="AA18" s="4"/>
      <c r="AB18" s="4"/>
      <c r="AC18" s="4"/>
      <c r="AD18" s="4"/>
      <c r="AE18" s="4"/>
      <c r="AF18" s="4"/>
      <c r="AG18" s="4"/>
      <c r="AH18" s="4"/>
      <c r="AI18" s="44" t="s">
        <v>204</v>
      </c>
      <c r="AJ18" s="42">
        <v>110</v>
      </c>
      <c r="AK18" s="43">
        <v>0</v>
      </c>
      <c r="AL18" s="41">
        <v>1</v>
      </c>
      <c r="AM18" s="45">
        <v>0</v>
      </c>
      <c r="AN18" s="4"/>
    </row>
    <row r="19" spans="1:40" ht="16" customHeight="1" x14ac:dyDescent="0.3">
      <c r="A19" t="s">
        <v>205</v>
      </c>
      <c r="B19" s="1">
        <v>0</v>
      </c>
      <c r="D19">
        <v>0</v>
      </c>
      <c r="E19" s="1">
        <v>0</v>
      </c>
      <c r="F19">
        <v>0</v>
      </c>
      <c r="G19">
        <v>0</v>
      </c>
      <c r="I19" s="1">
        <v>0</v>
      </c>
      <c r="J19" s="1">
        <v>0</v>
      </c>
      <c r="K19" s="1">
        <v>0</v>
      </c>
      <c r="L19" s="1">
        <v>0</v>
      </c>
      <c r="M19" s="1">
        <v>0</v>
      </c>
      <c r="N19" s="1">
        <v>0</v>
      </c>
      <c r="Q19" s="4"/>
      <c r="R19" s="4"/>
      <c r="S19" s="4"/>
      <c r="T19" s="4"/>
      <c r="U19" s="4"/>
      <c r="V19" s="4"/>
      <c r="W19" s="4"/>
      <c r="X19" s="4"/>
      <c r="Y19" s="4"/>
      <c r="Z19" s="4"/>
      <c r="AA19" s="4"/>
      <c r="AB19" s="4"/>
      <c r="AC19" s="4"/>
      <c r="AD19" s="4"/>
      <c r="AE19" s="4"/>
      <c r="AF19" s="4"/>
      <c r="AG19" s="4"/>
      <c r="AH19" s="4"/>
      <c r="AI19" s="44" t="s">
        <v>206</v>
      </c>
      <c r="AJ19" s="42">
        <v>120</v>
      </c>
      <c r="AK19" s="43">
        <v>0</v>
      </c>
      <c r="AL19" s="41">
        <v>0</v>
      </c>
      <c r="AM19" s="45">
        <v>1</v>
      </c>
      <c r="AN19" s="4"/>
    </row>
    <row r="20" spans="1:40" ht="16" customHeight="1" x14ac:dyDescent="0.3">
      <c r="A20" t="s">
        <v>207</v>
      </c>
      <c r="B20" s="1">
        <v>0</v>
      </c>
      <c r="D20">
        <v>0</v>
      </c>
      <c r="E20" s="1">
        <v>0</v>
      </c>
      <c r="F20">
        <v>0</v>
      </c>
      <c r="G20">
        <v>0</v>
      </c>
      <c r="I20" s="1">
        <v>0</v>
      </c>
      <c r="J20" s="1">
        <v>0</v>
      </c>
      <c r="K20" s="1">
        <v>0</v>
      </c>
      <c r="L20" s="1">
        <v>0</v>
      </c>
      <c r="M20" s="1">
        <v>0</v>
      </c>
      <c r="N20" s="1">
        <v>0</v>
      </c>
      <c r="Q20" s="4"/>
      <c r="R20" s="4"/>
      <c r="S20" s="4"/>
      <c r="T20" s="4"/>
      <c r="U20" s="4"/>
      <c r="V20" s="4"/>
      <c r="W20" s="4"/>
      <c r="X20" s="4"/>
      <c r="Y20" s="4"/>
      <c r="Z20" s="4"/>
      <c r="AA20" s="4"/>
      <c r="AB20" s="4"/>
      <c r="AC20" s="4"/>
      <c r="AD20" s="4"/>
      <c r="AE20" s="4"/>
      <c r="AF20" s="4"/>
      <c r="AG20" s="4"/>
      <c r="AH20" s="4"/>
      <c r="AI20" s="44" t="s">
        <v>208</v>
      </c>
      <c r="AJ20" s="42">
        <v>110</v>
      </c>
      <c r="AK20" s="43">
        <v>0</v>
      </c>
      <c r="AL20" s="41">
        <v>1</v>
      </c>
      <c r="AM20" s="45">
        <v>0</v>
      </c>
      <c r="AN20" s="4"/>
    </row>
    <row r="21" spans="1:40" ht="16" customHeight="1" x14ac:dyDescent="0.3">
      <c r="A21" t="s">
        <v>209</v>
      </c>
      <c r="B21" s="1">
        <v>0</v>
      </c>
      <c r="D21">
        <v>0</v>
      </c>
      <c r="E21" s="1">
        <v>0</v>
      </c>
      <c r="F21">
        <v>0</v>
      </c>
      <c r="G21">
        <v>0</v>
      </c>
      <c r="I21" s="1">
        <v>0</v>
      </c>
      <c r="J21" s="1">
        <v>0</v>
      </c>
      <c r="K21" s="1">
        <v>0</v>
      </c>
      <c r="L21" s="1">
        <v>0</v>
      </c>
      <c r="M21" s="1">
        <v>0</v>
      </c>
      <c r="N21" s="1">
        <v>0</v>
      </c>
      <c r="Q21" s="4"/>
      <c r="R21" s="4"/>
      <c r="S21" s="4"/>
      <c r="T21" s="4"/>
      <c r="U21" s="4"/>
      <c r="V21" s="4"/>
      <c r="W21" s="4"/>
      <c r="X21" s="4"/>
      <c r="Y21" s="4"/>
      <c r="Z21" s="4"/>
      <c r="AA21" s="4"/>
      <c r="AB21" s="4"/>
      <c r="AC21" s="4"/>
      <c r="AD21" s="4"/>
      <c r="AE21" s="4"/>
      <c r="AF21" s="4"/>
      <c r="AG21" s="4"/>
      <c r="AH21" s="4"/>
      <c r="AI21" s="124" t="s">
        <v>210</v>
      </c>
      <c r="AJ21" s="124"/>
      <c r="AK21" s="38">
        <f>ROUNDUP(IF(B5="均衡",IF(B1="红",IF(AK22&lt;=13245,0.005247*AK22,IF(AK22&gt;=46026,119,0.00151*AK22+49.5)),IF(B2="红",IF(AK22&lt;=6292,0.009123*AK22,IF(AK22&gt;=21498,98,0.00267*AK22+40.6)),IF(AK22&lt;=4060,0.01182*AK22,IF(AK22&gt;=12183,80,0.00394*AK22+32)))),IF(B1="红",IF(AK22&lt;=11521,0.007386*AK22,IF(AK22&gt;=46250,149,0.00184*AK22+63.9)),IF(B2="红",IF(AK22&lt;=4806,0.0104226*AK22,IF(AK22&gt;=21502,89,0.00233*AK22+38.9)),IF(AK22&lt;=3093,0.010926*AK22,IF(AK22&gt;=12158,59,0.00278*AK22+25.2))))),0)</f>
        <v>80</v>
      </c>
      <c r="AL21" s="39">
        <f>ROUNDUP(IF(B5="均衡",IF(B1="蓝",IF(AL22&lt;=13245,0.005247*AL22,IF(AL22&gt;=46026,119,0.00151*AL22+49.5)),IF(B2="蓝",IF(AL22&lt;=6292,0.009123*AL22,IF(AL22&gt;=21498,98,0.00267*AL22+40.6)),IF(AL22&lt;=4060,0.01182*AL22,IF(AL22&gt;=12183,80,0.00394*AL22+32)))),IF(B1="蓝",IF(AL22&lt;=11521,0.007386*AL22,IF(AL22&gt;=46250,149,0.00184*AL22+63.9)),IF(B2="蓝",IF(AL22&lt;=4806,0.0104226*AL22,IF(AL22&gt;=21502,89,0.00233*AL22+38.9)),IF(AL22&lt;=3093,0.010926*AL22,IF(AL22&gt;=12158,59,0.00278*AL22+25.2))))),0)</f>
        <v>89</v>
      </c>
      <c r="AM21" s="40">
        <f>ROUNDUP(IF(B5="均衡",IF(B1="黄",IF(AM22&lt;=13245,0.005247*AM22,IF(AM22&gt;=46026,119,0.00151*AM22+49.5)),IF(B2="黄",IF(AM22&lt;=6292,0.009123*AM22,IF(AM22&gt;=21498,98,0.00267*AM22+40.6)),IF(AM22&lt;=4060,0.01182*AM22,IF(AM22&gt;=12183,80,0.00394*AM22+32)))),IF(B1="黄",IF(AM22&lt;=11521,0.007386*AM22,IF(AM22&gt;=46250,149,0.00184*AM22+63.9)),IF(B2="黄",IF(AM22&lt;=4806,0.0104226*AM22,IF(AM22&gt;=21502,89,0.00233*AM22+38.9)),IF(AM22&lt;=3093,0.010926*AM22,IF(AM22&gt;=12158,59,0.00278*AM22+25.2))))),0)</f>
        <v>119</v>
      </c>
      <c r="AN21" s="4"/>
    </row>
    <row r="22" spans="1:40" ht="16" customHeight="1" x14ac:dyDescent="0.3">
      <c r="A22" t="s">
        <v>211</v>
      </c>
      <c r="B22" s="1">
        <v>0</v>
      </c>
      <c r="D22">
        <v>0</v>
      </c>
      <c r="E22" s="1">
        <v>0</v>
      </c>
      <c r="F22">
        <v>0</v>
      </c>
      <c r="G22">
        <v>0</v>
      </c>
      <c r="I22" s="1">
        <v>0</v>
      </c>
      <c r="J22" s="1">
        <v>0</v>
      </c>
      <c r="K22" s="1">
        <v>0</v>
      </c>
      <c r="L22" s="1">
        <v>0</v>
      </c>
      <c r="M22" s="1">
        <v>0</v>
      </c>
      <c r="N22" s="1">
        <v>0</v>
      </c>
      <c r="Q22" s="4"/>
      <c r="R22" s="4"/>
      <c r="S22" s="4"/>
      <c r="T22" s="4"/>
      <c r="U22" s="4"/>
      <c r="V22" s="4"/>
      <c r="W22" s="4"/>
      <c r="X22" s="4"/>
      <c r="Y22" s="4"/>
      <c r="Z22" s="4"/>
      <c r="AA22" s="4"/>
      <c r="AB22" s="4"/>
      <c r="AC22" s="4"/>
      <c r="AD22" s="4"/>
      <c r="AE22" s="4"/>
      <c r="AF22" s="4"/>
      <c r="AG22" s="4"/>
      <c r="AH22" s="4"/>
      <c r="AI22" s="124" t="s">
        <v>198</v>
      </c>
      <c r="AJ22" s="124"/>
      <c r="AK22" s="36">
        <v>17701</v>
      </c>
      <c r="AL22" s="10">
        <v>18077</v>
      </c>
      <c r="AM22" s="35">
        <v>85615</v>
      </c>
      <c r="AN22" s="4"/>
    </row>
    <row r="23" spans="1:40" ht="16" customHeight="1" x14ac:dyDescent="0.3">
      <c r="A23" t="s">
        <v>12</v>
      </c>
      <c r="B23" s="1">
        <v>10</v>
      </c>
      <c r="D23">
        <v>4</v>
      </c>
      <c r="E23" s="1">
        <v>4</v>
      </c>
      <c r="F23">
        <v>4</v>
      </c>
      <c r="G23">
        <v>4</v>
      </c>
      <c r="I23" s="1">
        <v>8</v>
      </c>
      <c r="J23" s="1">
        <v>6</v>
      </c>
      <c r="K23" s="1">
        <v>8</v>
      </c>
      <c r="L23" s="1">
        <v>15</v>
      </c>
      <c r="M23" s="1">
        <v>10</v>
      </c>
      <c r="N23" s="1">
        <v>6</v>
      </c>
      <c r="Q23" s="4"/>
      <c r="R23" s="4"/>
      <c r="S23" s="4"/>
      <c r="T23" s="4"/>
      <c r="U23" s="4"/>
      <c r="V23" s="4"/>
      <c r="W23" s="4"/>
      <c r="X23" s="4"/>
      <c r="Y23" s="4"/>
      <c r="Z23" s="4"/>
      <c r="AA23" s="4"/>
      <c r="AB23" s="4"/>
      <c r="AC23" s="4"/>
      <c r="AD23" s="4"/>
      <c r="AE23" s="4"/>
      <c r="AF23" s="4"/>
      <c r="AG23" s="4"/>
      <c r="AH23" s="4"/>
      <c r="AI23" s="124" t="s">
        <v>200</v>
      </c>
      <c r="AJ23" s="124"/>
      <c r="AK23" s="61">
        <f>AK21+INT(AK21*AK4/100)+INT(AK21*AK8/100)</f>
        <v>136</v>
      </c>
      <c r="AL23" s="61">
        <f>AL21+INT(AL21*AL4/100)+INT(AL21*AK8/100)</f>
        <v>130</v>
      </c>
      <c r="AM23" s="62">
        <f>AM21+INT(AM21*AM4/100)+INT(AM21*AK8/100)</f>
        <v>211</v>
      </c>
      <c r="AN23" s="4"/>
    </row>
    <row r="24" spans="1:40" ht="16" customHeight="1" x14ac:dyDescent="0.3">
      <c r="A24" t="s">
        <v>18</v>
      </c>
      <c r="B24" s="1">
        <v>12</v>
      </c>
      <c r="D24">
        <v>8</v>
      </c>
      <c r="E24" s="1">
        <v>8</v>
      </c>
      <c r="F24">
        <v>8</v>
      </c>
      <c r="G24">
        <v>8</v>
      </c>
      <c r="I24" s="1">
        <v>16</v>
      </c>
      <c r="J24" s="1">
        <v>14</v>
      </c>
      <c r="K24" s="1">
        <v>16</v>
      </c>
      <c r="L24" s="1">
        <v>15</v>
      </c>
      <c r="M24" s="1">
        <v>12</v>
      </c>
      <c r="N24" s="1">
        <v>14</v>
      </c>
      <c r="Q24" s="4"/>
      <c r="R24" s="4"/>
      <c r="S24" s="4"/>
      <c r="T24" s="4"/>
      <c r="U24" s="4"/>
      <c r="V24" s="4"/>
      <c r="W24" s="4"/>
      <c r="X24" s="4"/>
      <c r="Y24" s="4"/>
      <c r="Z24" s="4"/>
      <c r="AA24" s="4"/>
      <c r="AB24" s="4"/>
      <c r="AC24" s="4"/>
      <c r="AD24" s="4"/>
      <c r="AE24" s="4"/>
      <c r="AF24" s="4"/>
      <c r="AG24" s="4"/>
      <c r="AH24" s="4"/>
      <c r="AI24" s="44" t="s">
        <v>212</v>
      </c>
      <c r="AJ24" s="42">
        <v>150</v>
      </c>
      <c r="AK24" s="43">
        <v>0</v>
      </c>
      <c r="AL24" s="41">
        <v>0</v>
      </c>
      <c r="AM24" s="45">
        <v>1</v>
      </c>
      <c r="AN24" s="4"/>
    </row>
    <row r="25" spans="1:40" ht="16" customHeight="1" x14ac:dyDescent="0.3">
      <c r="A25" t="s">
        <v>104</v>
      </c>
      <c r="B25" s="1">
        <v>12</v>
      </c>
      <c r="D25">
        <v>5</v>
      </c>
      <c r="E25" s="1">
        <v>5</v>
      </c>
      <c r="F25">
        <v>5</v>
      </c>
      <c r="G25">
        <v>5</v>
      </c>
      <c r="I25" s="1">
        <v>12</v>
      </c>
      <c r="J25" s="1">
        <v>10</v>
      </c>
      <c r="K25" s="1">
        <v>12</v>
      </c>
      <c r="L25" s="1">
        <v>14</v>
      </c>
      <c r="M25" s="1">
        <v>12</v>
      </c>
      <c r="N25" s="1">
        <v>10</v>
      </c>
      <c r="Q25" s="4"/>
      <c r="R25" s="4"/>
      <c r="S25" s="4"/>
      <c r="T25" s="4"/>
      <c r="U25" s="4"/>
      <c r="V25" s="4"/>
      <c r="W25" s="4"/>
      <c r="X25" s="4"/>
      <c r="Y25" s="4"/>
      <c r="Z25" s="4"/>
      <c r="AA25" s="4"/>
      <c r="AB25" s="4"/>
      <c r="AC25" s="4"/>
      <c r="AD25" s="4"/>
      <c r="AE25" s="4"/>
      <c r="AF25" s="4"/>
      <c r="AG25" s="4"/>
      <c r="AH25" s="4"/>
      <c r="AI25" s="44" t="s">
        <v>213</v>
      </c>
      <c r="AJ25" s="42">
        <v>130</v>
      </c>
      <c r="AK25" s="43">
        <v>0</v>
      </c>
      <c r="AL25" s="41">
        <v>1</v>
      </c>
      <c r="AM25" s="45">
        <v>0</v>
      </c>
      <c r="AN25" s="4"/>
    </row>
    <row r="26" spans="1:40" ht="16" customHeight="1" x14ac:dyDescent="0.3">
      <c r="A26" t="s">
        <v>137</v>
      </c>
      <c r="B26" s="1">
        <v>17</v>
      </c>
      <c r="D26">
        <v>7</v>
      </c>
      <c r="E26">
        <v>7</v>
      </c>
      <c r="F26">
        <v>7</v>
      </c>
      <c r="G26">
        <v>7</v>
      </c>
      <c r="I26" s="1">
        <v>17</v>
      </c>
      <c r="J26" s="1">
        <v>15</v>
      </c>
      <c r="K26" s="1">
        <v>17</v>
      </c>
      <c r="L26" s="1">
        <v>19</v>
      </c>
      <c r="M26" s="1">
        <v>17</v>
      </c>
      <c r="N26" s="1">
        <v>15</v>
      </c>
      <c r="Q26" s="4"/>
      <c r="R26" s="4"/>
      <c r="S26" s="4"/>
      <c r="T26" s="4"/>
      <c r="U26" s="4"/>
      <c r="V26" s="4"/>
      <c r="W26" s="4"/>
      <c r="X26" s="4"/>
      <c r="Y26" s="4"/>
      <c r="Z26" s="4"/>
      <c r="AA26" s="4"/>
      <c r="AB26" s="4"/>
      <c r="AC26" s="4"/>
      <c r="AD26" s="4"/>
      <c r="AE26" s="4"/>
      <c r="AF26" s="4"/>
      <c r="AG26" s="4"/>
      <c r="AH26" s="4"/>
      <c r="AI26" s="44" t="s">
        <v>214</v>
      </c>
      <c r="AJ26" s="42">
        <v>150</v>
      </c>
      <c r="AK26" s="43">
        <v>1</v>
      </c>
      <c r="AL26" s="41">
        <v>0</v>
      </c>
      <c r="AM26" s="45">
        <v>0</v>
      </c>
      <c r="AN26" s="4"/>
    </row>
    <row r="27" spans="1:40" ht="16" customHeight="1" x14ac:dyDescent="0.3">
      <c r="A27" t="s">
        <v>131</v>
      </c>
      <c r="B27" s="1">
        <v>17</v>
      </c>
      <c r="D27">
        <v>9</v>
      </c>
      <c r="E27">
        <v>9</v>
      </c>
      <c r="F27">
        <v>9</v>
      </c>
      <c r="G27">
        <v>9</v>
      </c>
      <c r="I27" s="1">
        <v>17</v>
      </c>
      <c r="J27" s="1">
        <v>15</v>
      </c>
      <c r="K27" s="1">
        <v>17</v>
      </c>
      <c r="L27" s="1">
        <v>19</v>
      </c>
      <c r="M27" s="1">
        <v>17</v>
      </c>
      <c r="N27" s="1">
        <v>15</v>
      </c>
      <c r="Q27" s="4"/>
      <c r="R27" s="4"/>
      <c r="S27" s="4"/>
      <c r="T27" s="4"/>
      <c r="U27" s="4"/>
      <c r="V27" s="4"/>
      <c r="W27" s="4"/>
      <c r="X27" s="4"/>
      <c r="Y27" s="4"/>
      <c r="Z27" s="4"/>
      <c r="AA27" s="4"/>
      <c r="AB27" s="4"/>
      <c r="AC27" s="4"/>
      <c r="AD27" s="4"/>
      <c r="AE27" s="4"/>
      <c r="AF27" s="4"/>
      <c r="AG27" s="4"/>
      <c r="AH27" s="4"/>
      <c r="AI27" s="44" t="s">
        <v>215</v>
      </c>
      <c r="AJ27" s="42">
        <v>130</v>
      </c>
      <c r="AK27" s="43">
        <v>0</v>
      </c>
      <c r="AL27" s="41">
        <v>1</v>
      </c>
      <c r="AM27" s="45">
        <v>0</v>
      </c>
      <c r="AN27" s="4"/>
    </row>
    <row r="28" spans="1:40" ht="16" customHeight="1" x14ac:dyDescent="0.3">
      <c r="A28" t="s">
        <v>130</v>
      </c>
      <c r="B28" s="1">
        <v>2</v>
      </c>
      <c r="D28">
        <v>1</v>
      </c>
      <c r="E28">
        <v>1</v>
      </c>
      <c r="F28">
        <v>1</v>
      </c>
      <c r="G28">
        <v>1</v>
      </c>
      <c r="I28" s="1">
        <v>2</v>
      </c>
      <c r="J28" s="1">
        <v>2</v>
      </c>
      <c r="K28" s="1">
        <v>2</v>
      </c>
      <c r="L28" s="1">
        <v>2</v>
      </c>
      <c r="M28" s="1">
        <v>2</v>
      </c>
      <c r="N28" s="1">
        <v>2</v>
      </c>
      <c r="Q28" s="4"/>
      <c r="R28" s="4"/>
      <c r="S28" s="4"/>
      <c r="T28" s="4"/>
      <c r="U28" s="4"/>
      <c r="V28" s="4"/>
      <c r="W28" s="4"/>
      <c r="X28" s="4"/>
      <c r="Y28" s="4"/>
      <c r="Z28" s="4"/>
      <c r="AA28" s="4"/>
      <c r="AB28" s="4"/>
      <c r="AC28" s="4"/>
      <c r="AD28" s="4"/>
      <c r="AE28" s="4"/>
      <c r="AF28" s="4"/>
      <c r="AG28" s="4"/>
      <c r="AH28" s="4"/>
      <c r="AI28" s="51" t="s">
        <v>216</v>
      </c>
      <c r="AJ28" s="49">
        <v>150</v>
      </c>
      <c r="AK28" s="43">
        <v>1</v>
      </c>
      <c r="AL28" s="41">
        <v>0</v>
      </c>
      <c r="AM28" s="45">
        <v>0</v>
      </c>
      <c r="AN28" s="4"/>
    </row>
    <row r="29" spans="1:40" ht="16" customHeight="1" x14ac:dyDescent="0.3">
      <c r="A29" t="s">
        <v>38</v>
      </c>
      <c r="B29" s="1">
        <v>2</v>
      </c>
      <c r="D29">
        <v>3</v>
      </c>
      <c r="E29">
        <v>8</v>
      </c>
      <c r="F29">
        <v>2</v>
      </c>
      <c r="G29">
        <v>3</v>
      </c>
      <c r="I29" s="1">
        <v>2</v>
      </c>
      <c r="J29" s="1">
        <v>5</v>
      </c>
      <c r="K29" s="1">
        <v>2</v>
      </c>
      <c r="L29" s="1">
        <v>2</v>
      </c>
      <c r="M29" s="1">
        <v>2</v>
      </c>
      <c r="N29" s="1">
        <v>14</v>
      </c>
      <c r="Q29" s="4"/>
      <c r="R29" s="4"/>
      <c r="S29" s="4"/>
      <c r="T29" s="4"/>
      <c r="U29" s="4"/>
      <c r="V29" s="4"/>
      <c r="W29" s="4"/>
      <c r="X29" s="4"/>
      <c r="Y29" s="4"/>
      <c r="Z29" s="4"/>
      <c r="AA29" s="4"/>
      <c r="AB29" s="4"/>
      <c r="AC29" s="4"/>
      <c r="AD29" s="4"/>
      <c r="AE29" s="4"/>
      <c r="AF29" s="4"/>
      <c r="AG29" s="4"/>
      <c r="AH29" s="4"/>
      <c r="AI29" s="124" t="s">
        <v>217</v>
      </c>
      <c r="AJ29" s="124"/>
      <c r="AK29" s="38">
        <f>ROUNDUP(IF(B5="均衡",IF(B1="红",IF(AK30&lt;=35048,0.0028132*AK30,IF(AK30&gt;=137135,172,0.000719*AK30+73.4)),IF(B2="红",IF(AK30&lt;=14400,0.0055556*AK30,IF(AK30&gt;=64000,142,0.00125*AK30+62)),IF(AK30&lt;=10000,0.00672*AK30,IF(AK30&gt;=36522,116,0.00184*AK30+48.8)))),IF(B1="红",IF(AK30&lt;=38997,0.0032156*AK30,IF(AK30&gt;=136601,215,0.000918*AK30+89.6)),IF(B2="红",IF(AK30&lt;=18135,0.0041465*AK30,IF(AK30&gt;=63729,129,0.00118*AK30+53.8)),IF(AK30&lt;=9927,0.0050166*AK30,IF(AK30&gt;=36350,86,0.00137*AK30+36.2))))),0)</f>
        <v>116</v>
      </c>
      <c r="AL29" s="39">
        <f>ROUNDUP(IF(B5="均衡",IF(B1="蓝",IF(AL30&lt;=35048,0.0028132*AL30,IF(AL30&gt;=137135,172,0.000719*AL30+73.4)),IF(B2="蓝",IF(AL30&lt;=14400,0.0055556*AL30,IF(AL30&gt;=64000,142,0.00125*AL30+62)),IF(AL30&lt;=10000,0.00672*AL30,IF(AL30&gt;=36522,116,0.00184*AL30+48.8)))),IF(B1="蓝",IF(AL30&lt;=38997,0.0032156*AL30,IF(AL30&gt;=136601,215,0.000918*AL30+89.6)),IF(B2="蓝",IF(AL30&lt;=18135,0.0041465*AL30,IF(AL30&gt;=63729,129,0.00118*AL30+53.8)),IF(AL30&lt;=9927,0.0050166*AL30,IF(AL30&gt;=36350,86,0.00137*AL30+36.2))))),0)</f>
        <v>118</v>
      </c>
      <c r="AM29" s="40">
        <f>ROUNDUP(IF(B5="均衡",IF(B1="黄",IF(AM30&lt;=35048,0.0028132*AM30,IF(AM30&gt;=137135,172,0.000719*AM30+73.4)),IF(B2="黄",IF(AM30&lt;=14400,0.0055556*AM30,IF(AM30&gt;=64000,142,0.00125*AM30+62)),IF(AM30&lt;=10000,0.00672*AM30,IF(AM30&gt;=36522,116,0.00184*AM30+48.8)))),IF(B1="黄",IF(AM30&lt;=38997,0.0032156*AM30,IF(AM30&gt;=136601,215,0.000918*AM30+89.6)),IF(B2="黄",IF(AM30&lt;=18135,0.0041465*AM30,IF(AM30&gt;=63729,129,0.00118*AM30+53.8)),IF(AM30&lt;=9927,0.0050166*AM30,IF(AM30&gt;=36350,86,0.00137*AM30+36.2))))),0)</f>
        <v>172</v>
      </c>
      <c r="AN29" s="4"/>
    </row>
    <row r="30" spans="1:40" ht="16" customHeight="1" x14ac:dyDescent="0.3">
      <c r="A30" t="s">
        <v>8</v>
      </c>
      <c r="B30" s="1">
        <v>7</v>
      </c>
      <c r="D30">
        <v>7</v>
      </c>
      <c r="E30">
        <v>7</v>
      </c>
      <c r="F30">
        <v>7</v>
      </c>
      <c r="G30">
        <v>7</v>
      </c>
      <c r="I30" s="1">
        <v>7</v>
      </c>
      <c r="J30" s="1">
        <v>7</v>
      </c>
      <c r="K30" s="1">
        <v>7</v>
      </c>
      <c r="L30" s="1">
        <v>7</v>
      </c>
      <c r="M30" s="1">
        <v>7</v>
      </c>
      <c r="N30" s="1">
        <v>7</v>
      </c>
      <c r="Q30" s="4"/>
      <c r="R30" s="4"/>
      <c r="S30" s="4"/>
      <c r="T30" s="4"/>
      <c r="U30" s="4"/>
      <c r="V30" s="4"/>
      <c r="W30" s="4"/>
      <c r="X30" s="4"/>
      <c r="Y30" s="4"/>
      <c r="Z30" s="4"/>
      <c r="AA30" s="4"/>
      <c r="AB30" s="4"/>
      <c r="AC30" s="4"/>
      <c r="AD30" s="4"/>
      <c r="AE30" s="4"/>
      <c r="AF30" s="4"/>
      <c r="AG30" s="4"/>
      <c r="AH30" s="4"/>
      <c r="AI30" s="124" t="s">
        <v>198</v>
      </c>
      <c r="AJ30" s="124"/>
      <c r="AK30" s="36">
        <v>73823</v>
      </c>
      <c r="AL30" s="10">
        <v>44056</v>
      </c>
      <c r="AM30" s="35">
        <v>297035</v>
      </c>
      <c r="AN30" s="4"/>
    </row>
    <row r="31" spans="1:40" ht="16" customHeight="1" x14ac:dyDescent="0.3">
      <c r="A31" t="s">
        <v>19</v>
      </c>
      <c r="B31" s="1">
        <v>0</v>
      </c>
      <c r="D31">
        <v>5</v>
      </c>
      <c r="E31">
        <v>5</v>
      </c>
      <c r="F31">
        <v>2</v>
      </c>
      <c r="G31">
        <v>5</v>
      </c>
      <c r="I31" s="1">
        <v>1</v>
      </c>
      <c r="J31" s="1">
        <v>5</v>
      </c>
      <c r="K31" s="1">
        <v>1</v>
      </c>
      <c r="L31" s="1">
        <v>0</v>
      </c>
      <c r="M31" s="1">
        <v>0</v>
      </c>
      <c r="N31" s="1">
        <v>5</v>
      </c>
      <c r="Q31" s="4"/>
      <c r="R31" s="4"/>
      <c r="S31" s="4"/>
      <c r="T31" s="4"/>
      <c r="U31" s="4"/>
      <c r="V31" s="4"/>
      <c r="W31" s="4"/>
      <c r="X31" s="4"/>
      <c r="Y31" s="4"/>
      <c r="Z31" s="4"/>
      <c r="AA31" s="4"/>
      <c r="AB31" s="4"/>
      <c r="AC31" s="4"/>
      <c r="AD31" s="4"/>
      <c r="AE31" s="4"/>
      <c r="AF31" s="4"/>
      <c r="AG31" s="4"/>
      <c r="AH31" s="4"/>
      <c r="AI31" s="123" t="s">
        <v>200</v>
      </c>
      <c r="AJ31" s="123"/>
      <c r="AK31" s="69">
        <f>AK29+INT(AK29*AK4/100)+INT(AK29*AK8/100)</f>
        <v>198</v>
      </c>
      <c r="AL31" s="61">
        <f>AL29+INT(AL29*AL4/100)+INT(AL29*AK8/100)</f>
        <v>173</v>
      </c>
      <c r="AM31" s="62">
        <f>AM29+INT(AM29*AM4/100)+INT(AM29*AK8/100)</f>
        <v>306</v>
      </c>
      <c r="AN31" s="4"/>
    </row>
    <row r="32" spans="1:40" ht="16" customHeight="1" x14ac:dyDescent="0.3">
      <c r="A32" t="s">
        <v>21</v>
      </c>
      <c r="B32" s="1">
        <v>2</v>
      </c>
      <c r="D32">
        <v>0</v>
      </c>
      <c r="E32">
        <v>0</v>
      </c>
      <c r="F32">
        <v>0</v>
      </c>
      <c r="G32">
        <v>0</v>
      </c>
      <c r="I32" s="1">
        <v>0</v>
      </c>
      <c r="J32" s="1">
        <v>0</v>
      </c>
      <c r="K32" s="1">
        <v>0</v>
      </c>
      <c r="L32" s="1">
        <v>2</v>
      </c>
      <c r="M32" s="1">
        <v>2</v>
      </c>
      <c r="N32" s="1">
        <v>0</v>
      </c>
      <c r="Q32" s="4"/>
      <c r="R32" s="4"/>
      <c r="S32" s="4"/>
      <c r="T32" s="4"/>
      <c r="U32" s="4"/>
      <c r="V32" s="4"/>
      <c r="W32" s="4"/>
      <c r="X32" s="4"/>
      <c r="Y32" s="4"/>
      <c r="Z32" s="4"/>
      <c r="AA32" s="4"/>
      <c r="AB32" s="4"/>
      <c r="AC32" s="4"/>
      <c r="AD32" s="4"/>
      <c r="AE32" s="4"/>
      <c r="AF32" s="4"/>
      <c r="AG32" s="31" t="s">
        <v>218</v>
      </c>
      <c r="AH32" s="31">
        <f>AK32+AL32+AM32</f>
        <v>4849</v>
      </c>
      <c r="AI32" s="130" t="s">
        <v>219</v>
      </c>
      <c r="AJ32" s="130"/>
      <c r="AK32" s="32">
        <f>AK3+AK16+AK23+AK31+INT(IF(AK9=1,AJ9*(1+AK4/100)+AK6,0))+INT(IF(AK11=1,AJ11*(1+AK4/100)+AK6,0))+INT(IF(AK17=1,AJ17*(1+AK4/100)+AK6,0))+INT(IF(AK19=1,AJ19*(1+AK4/100)+AK6,0))+INT(IF(AK24=1,AJ24*(1+AK4/100)+AK6,0))+INT(IF(AK26=1,AJ26*(1+AK4/100)+AK6,0))+INT(IF(AK28=1,AJ28*(1+AK4/100)+AK6,0))+IF(AK10=1,AJ10,0)+IF(AK12=1,AJ12,0)+IF(AK13=1,AJ13,0)+IF(AK18=1,AJ18,0)+IF(AK20=1,AJ20,0)+IF(AK25=1,AJ25,0)+IF(AK27=1,AJ27,0)+AK7*B30+AK34*B23+AK35*B24+AK36*B28+AK37*B29+AK38*B31+AK39*B32+AK40*B33+AK41*B34+AK42*B36+AK43*B37+AK44*B38+AK45*B39+AK46*B40+AK47*B25+AK48*B26+AK49*B27+AK50+AK51+AK52+AK53*B41</f>
        <v>1692</v>
      </c>
      <c r="AL32" s="33">
        <f>AL3+AL16+AL23+AL31+INT(IF(AL9=1,AJ9*(1+AL4/100)+AL6,0))+INT(IF(AL11=1,AJ11*(1+AL4/100)+AL6,0))+INT(IF(AL17=1,AJ17*(1+AL4/100)+AL6,0))+INT(IF(AL19=1,AJ19*(1+AL4/100)+AL6,0))+INT(IF(AL24=1,AJ24*(1+AL4/100)+AL6,0))+INT(IF(AL26=1,AJ26*(1+AL4/100)+AL6,0))+INT(IF(AL28=1,AJ28*(1+AL4/100)+AL6,0))+IF(AL10=1,AJ10,0)+IF(AL12=1,AJ12,0)+IF(AL13=1,AJ13,0)+IF(AL18=1,AJ18,0)+IF(AL20=1,AJ20,0)+IF(AL25=1,AJ25,0)+IF(AL27=1,AJ27,0)+AL7*B30+AL34*B23+AL35*B24+AL36*B28+AL37*B29+AL38*B31+AL39*B32+AL40*B33+AL41*B34+AL42*B36+AL43*B37+AL44*B38+AL45*B39+AL46*B40+AL47*B25+AL48*B26+AL49*B27+AL50+AL51+AL52+AL53*B41</f>
        <v>1279</v>
      </c>
      <c r="AM32" s="34">
        <f>AM3+AM16+AM23+AM31+INT(IF(AM9=1,AJ9*(1+AM4/100)+AM6,0))+INT(IF(AM11=1,AJ11*(1+AM4/100)+AM6,0))+INT(IF(AM17=1,AJ17*(1+AM4/100)+AM6,0))+INT(IF(AM19=1,AJ19*(1+AM4/100)+AM6,0))+INT(IF(AM24=1,AJ24*(1+AM4/100)+AM6,0))+INT(IF(AM26=1,AJ26*(1+AM4/100)+AM6,0))+INT(IF(AM28=1,AJ28*(1+AM4/100)+AM6,0))+IF(AM10=1,AJ10,0)+IF(AM12=1,AJ12,0)+IF(AM13=1,AJ13,0)+IF(AM18=1,AJ18,0)+IF(AM20=1,AJ20,0)+IF(AM25=1,AJ25,0)+IF(AM27=1,AJ27,0)+AM7*B30+AM34*B23+AM35*B24+AM36*B28+AM37*B29+AM38*B31+AM39*B32+AM40*B33+AM41*B34+AM42*B36+AM43*B37+AM44*B38+AM45*B39+AM46*B40+AM47*B25+AM48*B26+AM49*B27+AM50+AM51+AM52+AM53*B41</f>
        <v>1878</v>
      </c>
      <c r="AN32" s="4"/>
    </row>
    <row r="33" spans="1:40" ht="16" customHeight="1" x14ac:dyDescent="0.3">
      <c r="A33" t="s">
        <v>20</v>
      </c>
      <c r="B33" s="1">
        <v>4</v>
      </c>
      <c r="D33">
        <v>1</v>
      </c>
      <c r="E33">
        <v>1</v>
      </c>
      <c r="F33">
        <v>3</v>
      </c>
      <c r="G33">
        <v>1</v>
      </c>
      <c r="I33" s="1">
        <v>3</v>
      </c>
      <c r="J33" s="1">
        <v>1</v>
      </c>
      <c r="K33" s="1">
        <v>3</v>
      </c>
      <c r="L33" s="1">
        <v>3</v>
      </c>
      <c r="M33" s="1">
        <v>4</v>
      </c>
      <c r="N33" s="1">
        <v>1</v>
      </c>
      <c r="Q33" s="4"/>
      <c r="R33" s="4"/>
      <c r="S33" s="4"/>
      <c r="T33" s="4"/>
      <c r="U33" s="4"/>
      <c r="V33" s="4"/>
      <c r="W33" s="4"/>
      <c r="X33" s="4"/>
      <c r="Y33" s="4"/>
      <c r="Z33" s="4"/>
      <c r="AA33" s="4"/>
      <c r="AB33" s="4"/>
      <c r="AC33" s="4"/>
      <c r="AD33" s="4"/>
      <c r="AE33" s="4"/>
      <c r="AF33" s="4"/>
      <c r="AG33" s="4"/>
      <c r="AH33" s="4"/>
      <c r="AI33" s="123" t="s">
        <v>220</v>
      </c>
      <c r="AJ33" s="123"/>
      <c r="AK33" s="123"/>
      <c r="AL33" s="123"/>
      <c r="AM33" s="123"/>
      <c r="AN33" s="4"/>
    </row>
    <row r="34" spans="1:40" ht="16" customHeight="1" x14ac:dyDescent="0.3">
      <c r="A34" t="s">
        <v>47</v>
      </c>
      <c r="B34" s="1">
        <v>3</v>
      </c>
      <c r="D34">
        <v>0</v>
      </c>
      <c r="E34">
        <v>0</v>
      </c>
      <c r="F34">
        <v>0</v>
      </c>
      <c r="G34">
        <v>0</v>
      </c>
      <c r="I34" s="1">
        <v>3</v>
      </c>
      <c r="J34" s="1">
        <v>0</v>
      </c>
      <c r="K34" s="1">
        <v>3</v>
      </c>
      <c r="L34" s="1">
        <v>4</v>
      </c>
      <c r="M34" s="1">
        <v>3</v>
      </c>
      <c r="N34" s="1">
        <v>0</v>
      </c>
      <c r="Q34" s="4"/>
      <c r="R34" s="4"/>
      <c r="S34" s="4"/>
      <c r="T34" s="4"/>
      <c r="U34" s="4"/>
      <c r="V34" s="4"/>
      <c r="W34" s="4"/>
      <c r="X34" s="4"/>
      <c r="Y34" s="4"/>
      <c r="Z34" s="4"/>
      <c r="AA34" s="4"/>
      <c r="AB34" s="4"/>
      <c r="AC34" s="4"/>
      <c r="AD34" s="4"/>
      <c r="AE34" s="4"/>
      <c r="AF34" s="4"/>
      <c r="AG34" s="124" t="s">
        <v>221</v>
      </c>
      <c r="AH34" s="124"/>
      <c r="AI34" s="131" t="s">
        <v>12</v>
      </c>
      <c r="AJ34" s="131"/>
      <c r="AK34" s="51">
        <v>3</v>
      </c>
      <c r="AL34" s="49">
        <v>0</v>
      </c>
      <c r="AM34" s="50">
        <v>0</v>
      </c>
      <c r="AN34" s="4"/>
    </row>
    <row r="35" spans="1:40" ht="16" customHeight="1" x14ac:dyDescent="0.3">
      <c r="A35" s="1" t="s">
        <v>84</v>
      </c>
      <c r="B35" s="1">
        <v>10</v>
      </c>
      <c r="C35" s="1"/>
      <c r="D35" s="1">
        <v>3</v>
      </c>
      <c r="E35" s="1">
        <v>3</v>
      </c>
      <c r="F35" s="1">
        <v>3</v>
      </c>
      <c r="G35" s="1">
        <v>3</v>
      </c>
      <c r="I35" s="1">
        <v>8</v>
      </c>
      <c r="J35" s="1">
        <v>6</v>
      </c>
      <c r="K35" s="1">
        <v>6</v>
      </c>
      <c r="L35" s="1">
        <v>6</v>
      </c>
      <c r="M35" s="1">
        <v>10</v>
      </c>
      <c r="N35" s="1">
        <v>6</v>
      </c>
      <c r="Q35" s="4"/>
      <c r="R35" s="4"/>
      <c r="S35" s="4"/>
      <c r="T35" s="4"/>
      <c r="U35" s="4"/>
      <c r="V35" s="4"/>
      <c r="W35" s="4"/>
      <c r="X35" s="4"/>
      <c r="Y35" s="4"/>
      <c r="Z35" s="4"/>
      <c r="AA35" s="4"/>
      <c r="AB35" s="4"/>
      <c r="AC35" s="4"/>
      <c r="AD35" s="4"/>
      <c r="AE35" s="4"/>
      <c r="AF35" s="4"/>
      <c r="AG35" s="124"/>
      <c r="AH35" s="124"/>
      <c r="AI35" s="131" t="s">
        <v>18</v>
      </c>
      <c r="AJ35" s="131"/>
      <c r="AK35" s="36">
        <v>0</v>
      </c>
      <c r="AL35" s="10">
        <v>0</v>
      </c>
      <c r="AM35" s="35">
        <v>0</v>
      </c>
      <c r="AN35" s="4"/>
    </row>
    <row r="36" spans="1:40" ht="16" customHeight="1" x14ac:dyDescent="0.3">
      <c r="A36" s="1" t="s">
        <v>132</v>
      </c>
      <c r="B36" s="1">
        <v>3</v>
      </c>
      <c r="D36" s="1">
        <v>3</v>
      </c>
      <c r="E36" s="1">
        <v>3</v>
      </c>
      <c r="F36" s="1">
        <v>3</v>
      </c>
      <c r="G36" s="1">
        <v>3</v>
      </c>
      <c r="I36" s="1">
        <v>3</v>
      </c>
      <c r="J36" s="1">
        <v>3</v>
      </c>
      <c r="K36" s="1">
        <v>3</v>
      </c>
      <c r="L36" s="1">
        <v>3</v>
      </c>
      <c r="M36" s="1">
        <v>3</v>
      </c>
      <c r="N36" s="1">
        <v>3</v>
      </c>
      <c r="Q36" s="4"/>
      <c r="R36" s="4"/>
      <c r="S36" s="4"/>
      <c r="T36" s="4"/>
      <c r="U36" s="4"/>
      <c r="V36" s="4"/>
      <c r="W36" s="4"/>
      <c r="X36" s="4"/>
      <c r="Y36" s="4"/>
      <c r="Z36" s="4"/>
      <c r="AA36" s="4"/>
      <c r="AB36" s="4"/>
      <c r="AC36" s="4"/>
      <c r="AD36" s="4"/>
      <c r="AE36" s="4"/>
      <c r="AF36" s="4"/>
      <c r="AG36" s="124" t="s">
        <v>222</v>
      </c>
      <c r="AH36" s="124"/>
      <c r="AI36" s="131" t="s">
        <v>130</v>
      </c>
      <c r="AJ36" s="131"/>
      <c r="AK36" s="36">
        <v>0</v>
      </c>
      <c r="AL36" s="10">
        <v>0</v>
      </c>
      <c r="AM36" s="35">
        <v>8</v>
      </c>
      <c r="AN36" s="4"/>
    </row>
    <row r="37" spans="1:40" ht="16" customHeight="1" x14ac:dyDescent="0.3">
      <c r="A37" s="1" t="s">
        <v>146</v>
      </c>
      <c r="B37" s="1">
        <v>3</v>
      </c>
      <c r="D37" s="1">
        <v>3</v>
      </c>
      <c r="E37" s="1">
        <v>3</v>
      </c>
      <c r="F37" s="1">
        <v>3</v>
      </c>
      <c r="G37" s="1">
        <v>3</v>
      </c>
      <c r="I37" s="1">
        <v>3</v>
      </c>
      <c r="J37" s="1">
        <v>3</v>
      </c>
      <c r="K37" s="1">
        <v>3</v>
      </c>
      <c r="L37" s="1">
        <v>3</v>
      </c>
      <c r="M37" s="1">
        <v>3</v>
      </c>
      <c r="N37" s="1">
        <v>3</v>
      </c>
      <c r="Q37" s="4"/>
      <c r="R37" s="4"/>
      <c r="S37" s="4"/>
      <c r="T37" s="4"/>
      <c r="U37" s="4"/>
      <c r="V37" s="4"/>
      <c r="W37" s="4"/>
      <c r="X37" s="4"/>
      <c r="Y37" s="4"/>
      <c r="Z37" s="4"/>
      <c r="AA37" s="4"/>
      <c r="AB37" s="4"/>
      <c r="AC37" s="4"/>
      <c r="AD37" s="4"/>
      <c r="AE37" s="4"/>
      <c r="AF37" s="4"/>
      <c r="AG37" s="124"/>
      <c r="AH37" s="124"/>
      <c r="AI37" s="131" t="s">
        <v>38</v>
      </c>
      <c r="AJ37" s="131"/>
      <c r="AK37" s="36">
        <v>7</v>
      </c>
      <c r="AL37" s="10">
        <v>0</v>
      </c>
      <c r="AM37" s="35">
        <v>8</v>
      </c>
      <c r="AN37" s="4"/>
    </row>
    <row r="38" spans="1:40" ht="16" customHeight="1" x14ac:dyDescent="0.3">
      <c r="A38" s="1" t="s">
        <v>145</v>
      </c>
      <c r="B38" s="1">
        <v>3</v>
      </c>
      <c r="D38" s="1">
        <v>3</v>
      </c>
      <c r="E38" s="1">
        <v>3</v>
      </c>
      <c r="F38" s="1">
        <v>3</v>
      </c>
      <c r="G38" s="1">
        <v>3</v>
      </c>
      <c r="I38" s="1">
        <v>3</v>
      </c>
      <c r="J38" s="1">
        <v>3</v>
      </c>
      <c r="K38" s="1">
        <v>3</v>
      </c>
      <c r="L38" s="1">
        <v>3</v>
      </c>
      <c r="M38" s="1">
        <v>3</v>
      </c>
      <c r="N38" s="1">
        <v>3</v>
      </c>
      <c r="Q38" s="4"/>
      <c r="R38" s="4"/>
      <c r="S38" s="4"/>
      <c r="T38" s="4"/>
      <c r="U38" s="4"/>
      <c r="V38" s="4"/>
      <c r="W38" s="4"/>
      <c r="X38" s="10"/>
      <c r="Y38" s="10"/>
      <c r="Z38" s="10"/>
      <c r="AA38" s="10"/>
      <c r="AB38" s="10"/>
      <c r="AC38" s="10"/>
      <c r="AD38" s="4"/>
      <c r="AE38" s="4"/>
      <c r="AF38" s="4"/>
      <c r="AG38" s="4"/>
      <c r="AH38" s="4"/>
      <c r="AI38" s="124" t="s">
        <v>19</v>
      </c>
      <c r="AJ38" s="124"/>
      <c r="AK38" s="36">
        <v>0</v>
      </c>
      <c r="AL38" s="10">
        <v>0</v>
      </c>
      <c r="AM38" s="35">
        <v>0</v>
      </c>
      <c r="AN38" s="4"/>
    </row>
    <row r="39" spans="1:40" ht="16" customHeight="1" x14ac:dyDescent="0.3">
      <c r="A39" s="1" t="s">
        <v>77</v>
      </c>
      <c r="B39" s="1">
        <v>2</v>
      </c>
      <c r="C39" s="1"/>
      <c r="D39" s="1">
        <v>2</v>
      </c>
      <c r="E39" s="1">
        <v>0</v>
      </c>
      <c r="F39" s="1">
        <v>11</v>
      </c>
      <c r="G39" s="1">
        <v>2</v>
      </c>
      <c r="H39" s="1"/>
      <c r="I39" s="1">
        <v>2</v>
      </c>
      <c r="J39" s="1">
        <v>0</v>
      </c>
      <c r="K39" s="1">
        <v>12</v>
      </c>
      <c r="L39" s="1">
        <v>2</v>
      </c>
      <c r="M39" s="1">
        <v>2</v>
      </c>
      <c r="N39" s="1">
        <v>0</v>
      </c>
      <c r="Q39" s="4"/>
      <c r="R39" s="4"/>
      <c r="S39" s="4"/>
      <c r="T39" s="4"/>
      <c r="U39" s="4"/>
      <c r="V39" s="4"/>
      <c r="W39" s="4"/>
      <c r="X39" s="10"/>
      <c r="Y39" s="10"/>
      <c r="Z39" s="10"/>
      <c r="AA39" s="10"/>
      <c r="AB39" s="10"/>
      <c r="AC39" s="10"/>
      <c r="AD39" s="4"/>
      <c r="AE39" s="4"/>
      <c r="AF39" s="4"/>
      <c r="AG39" s="4"/>
      <c r="AH39" s="4"/>
      <c r="AI39" s="124" t="s">
        <v>21</v>
      </c>
      <c r="AJ39" s="124"/>
      <c r="AK39" s="36">
        <v>0</v>
      </c>
      <c r="AL39" s="10">
        <v>0</v>
      </c>
      <c r="AM39" s="35">
        <v>0</v>
      </c>
      <c r="AN39" s="4"/>
    </row>
    <row r="40" spans="1:40" ht="16" customHeight="1" x14ac:dyDescent="0.3">
      <c r="A40" s="1" t="s">
        <v>149</v>
      </c>
      <c r="B40" s="1">
        <v>14</v>
      </c>
      <c r="C40" s="1"/>
      <c r="D40" s="1">
        <v>6</v>
      </c>
      <c r="E40" s="1">
        <v>4</v>
      </c>
      <c r="F40" s="1">
        <v>14</v>
      </c>
      <c r="G40" s="1">
        <v>6</v>
      </c>
      <c r="H40" s="1"/>
      <c r="I40" s="1">
        <v>14</v>
      </c>
      <c r="J40" s="1">
        <v>10</v>
      </c>
      <c r="K40" s="1">
        <v>16</v>
      </c>
      <c r="L40" s="1">
        <v>10</v>
      </c>
      <c r="M40" s="1">
        <v>14</v>
      </c>
      <c r="N40" s="1">
        <v>10</v>
      </c>
      <c r="Q40" s="4"/>
      <c r="R40" s="4"/>
      <c r="S40" s="4"/>
      <c r="T40" s="4"/>
      <c r="U40" s="4"/>
      <c r="V40" s="4"/>
      <c r="W40" s="4"/>
      <c r="X40" s="10"/>
      <c r="Y40" s="10"/>
      <c r="Z40" s="10"/>
      <c r="AA40" s="10"/>
      <c r="AB40" s="10"/>
      <c r="AC40" s="10"/>
      <c r="AD40" s="4"/>
      <c r="AE40" s="4"/>
      <c r="AF40" s="4"/>
      <c r="AG40" s="4"/>
      <c r="AH40" s="4"/>
      <c r="AI40" s="124" t="s">
        <v>20</v>
      </c>
      <c r="AJ40" s="124"/>
      <c r="AK40" s="36">
        <v>0</v>
      </c>
      <c r="AL40" s="10">
        <v>0</v>
      </c>
      <c r="AM40" s="35">
        <v>0</v>
      </c>
      <c r="AN40" s="4"/>
    </row>
    <row r="41" spans="1:40" ht="16" customHeight="1" x14ac:dyDescent="0.3">
      <c r="A41" s="4" t="s">
        <v>153</v>
      </c>
      <c r="B41" s="4">
        <v>6</v>
      </c>
      <c r="C41" s="4"/>
      <c r="D41" s="4">
        <v>3</v>
      </c>
      <c r="E41" s="4">
        <v>3</v>
      </c>
      <c r="F41" s="4">
        <v>3</v>
      </c>
      <c r="G41" s="4">
        <v>3</v>
      </c>
      <c r="H41" s="4"/>
      <c r="I41" s="4">
        <v>6</v>
      </c>
      <c r="J41" s="4">
        <v>6</v>
      </c>
      <c r="K41" s="4">
        <v>6</v>
      </c>
      <c r="L41" s="4">
        <v>6</v>
      </c>
      <c r="M41" s="4">
        <v>6</v>
      </c>
      <c r="N41" s="53">
        <v>6</v>
      </c>
      <c r="Q41" s="4"/>
      <c r="R41" s="4"/>
      <c r="S41" s="4"/>
      <c r="T41" s="4"/>
      <c r="U41" s="4"/>
      <c r="V41" s="4"/>
      <c r="W41" s="4"/>
      <c r="X41" s="4"/>
      <c r="Y41" s="4"/>
      <c r="Z41" s="4"/>
      <c r="AA41" s="4"/>
      <c r="AB41" s="4"/>
      <c r="AC41" s="4"/>
      <c r="AD41" s="4"/>
      <c r="AE41" s="4"/>
      <c r="AF41" s="4"/>
      <c r="AG41" s="4"/>
      <c r="AH41" s="4"/>
      <c r="AI41" s="124" t="s">
        <v>47</v>
      </c>
      <c r="AJ41" s="124"/>
      <c r="AK41" s="36">
        <v>0</v>
      </c>
      <c r="AL41" s="10">
        <v>0</v>
      </c>
      <c r="AM41" s="35">
        <v>0</v>
      </c>
      <c r="AN41" s="4"/>
    </row>
    <row r="42" spans="1:40" ht="16" customHeight="1" x14ac:dyDescent="0.3">
      <c r="Q42" s="4"/>
      <c r="R42" s="4"/>
      <c r="S42" s="4"/>
      <c r="T42" s="4"/>
      <c r="U42" s="4"/>
      <c r="V42" s="4"/>
      <c r="W42" s="4"/>
      <c r="X42" s="4"/>
      <c r="Y42" s="4"/>
      <c r="Z42" s="4"/>
      <c r="AA42" s="4"/>
      <c r="AB42" s="4"/>
      <c r="AC42" s="4"/>
      <c r="AD42" s="4"/>
      <c r="AE42" s="4"/>
      <c r="AF42" s="4"/>
      <c r="AG42" s="124" t="s">
        <v>223</v>
      </c>
      <c r="AH42" s="124"/>
      <c r="AI42" s="131" t="s">
        <v>132</v>
      </c>
      <c r="AJ42" s="131"/>
      <c r="AK42" s="36">
        <v>0</v>
      </c>
      <c r="AL42" s="10">
        <v>0</v>
      </c>
      <c r="AM42" s="35">
        <v>17</v>
      </c>
      <c r="AN42" s="4"/>
    </row>
    <row r="43" spans="1:40" ht="16" customHeight="1" x14ac:dyDescent="0.3">
      <c r="Q43" s="4"/>
      <c r="R43" s="4"/>
      <c r="S43" s="4"/>
      <c r="T43" s="4"/>
      <c r="U43" s="4"/>
      <c r="V43" s="4"/>
      <c r="W43" s="4"/>
      <c r="X43" s="4"/>
      <c r="Y43" s="123" t="s">
        <v>224</v>
      </c>
      <c r="Z43" s="123"/>
      <c r="AA43" s="123"/>
      <c r="AB43" s="123"/>
      <c r="AC43" s="123"/>
      <c r="AD43" s="4"/>
      <c r="AE43" s="4"/>
      <c r="AF43" s="4"/>
      <c r="AG43" s="124"/>
      <c r="AH43" s="124"/>
      <c r="AI43" s="131" t="s">
        <v>146</v>
      </c>
      <c r="AJ43" s="131"/>
      <c r="AK43" s="36">
        <v>0</v>
      </c>
      <c r="AL43" s="10">
        <v>0</v>
      </c>
      <c r="AM43" s="35">
        <v>0</v>
      </c>
      <c r="AN43" s="4"/>
    </row>
    <row r="44" spans="1:40" ht="16" customHeight="1" x14ac:dyDescent="0.3">
      <c r="A44" s="1" t="s">
        <v>225</v>
      </c>
      <c r="Q44" s="4"/>
      <c r="R44" s="4"/>
      <c r="S44" s="4"/>
      <c r="T44" s="4"/>
      <c r="U44" s="4"/>
      <c r="V44" s="4"/>
      <c r="W44" s="4"/>
      <c r="X44" s="4"/>
      <c r="Y44" s="124" t="s">
        <v>226</v>
      </c>
      <c r="Z44" s="124"/>
      <c r="AA44" s="81">
        <v>1556</v>
      </c>
      <c r="AB44" s="39">
        <v>1072</v>
      </c>
      <c r="AC44" s="40">
        <v>1597</v>
      </c>
      <c r="AD44" s="10"/>
      <c r="AE44" s="4"/>
      <c r="AF44" s="4"/>
      <c r="AG44" s="4"/>
      <c r="AH44" s="4"/>
      <c r="AI44" s="124" t="s">
        <v>145</v>
      </c>
      <c r="AJ44" s="124"/>
      <c r="AK44" s="36">
        <v>0</v>
      </c>
      <c r="AL44" s="10">
        <v>0</v>
      </c>
      <c r="AM44" s="35">
        <v>21</v>
      </c>
      <c r="AN44" s="4"/>
    </row>
    <row r="45" spans="1:40" ht="16" customHeight="1" x14ac:dyDescent="0.3">
      <c r="Q45" s="4"/>
      <c r="R45" s="4"/>
      <c r="S45" s="4"/>
      <c r="T45" s="4"/>
      <c r="U45" s="4"/>
      <c r="V45" s="4"/>
      <c r="W45" s="4"/>
      <c r="X45" s="4"/>
      <c r="Y45" s="124" t="s">
        <v>17</v>
      </c>
      <c r="Z45" s="124"/>
      <c r="AA45" s="59">
        <v>31.2</v>
      </c>
      <c r="AB45" s="59">
        <v>7</v>
      </c>
      <c r="AC45" s="60">
        <v>38.6</v>
      </c>
      <c r="AD45" s="10"/>
      <c r="AE45" s="4"/>
      <c r="AF45" s="4"/>
      <c r="AG45" s="4"/>
      <c r="AH45" s="4"/>
      <c r="AI45" s="124" t="s">
        <v>77</v>
      </c>
      <c r="AJ45" s="124"/>
      <c r="AK45" s="36">
        <v>0</v>
      </c>
      <c r="AL45" s="10">
        <v>0</v>
      </c>
      <c r="AM45" s="35">
        <v>0</v>
      </c>
      <c r="AN45" s="4"/>
    </row>
    <row r="46" spans="1:40" ht="16" customHeight="1" x14ac:dyDescent="0.3">
      <c r="Q46" s="4"/>
      <c r="R46" s="4"/>
      <c r="S46" s="4"/>
      <c r="T46" s="4"/>
      <c r="U46" s="4"/>
      <c r="V46" s="4"/>
      <c r="W46" s="4"/>
      <c r="X46" s="4"/>
      <c r="Y46" s="124" t="s">
        <v>172</v>
      </c>
      <c r="Z46" s="132"/>
      <c r="AA46" s="133">
        <v>40</v>
      </c>
      <c r="AB46" s="134"/>
      <c r="AC46" s="135"/>
      <c r="AD46" s="10"/>
      <c r="AE46" s="4"/>
      <c r="AF46" s="4"/>
      <c r="AG46" s="4"/>
      <c r="AH46" s="4"/>
      <c r="AI46" s="124" t="s">
        <v>149</v>
      </c>
      <c r="AJ46" s="124"/>
      <c r="AK46" s="36">
        <v>0</v>
      </c>
      <c r="AL46" s="10">
        <v>0</v>
      </c>
      <c r="AM46" s="35">
        <v>0</v>
      </c>
      <c r="AN46" s="4"/>
    </row>
    <row r="47" spans="1:40" ht="16" customHeight="1" x14ac:dyDescent="0.3">
      <c r="Q47" s="4"/>
      <c r="R47" s="4"/>
      <c r="S47" s="4"/>
      <c r="T47" s="4"/>
      <c r="U47" s="4"/>
      <c r="V47" s="4"/>
      <c r="W47" s="4"/>
      <c r="X47" s="4"/>
      <c r="Y47" s="124" t="s">
        <v>227</v>
      </c>
      <c r="Z47" s="132"/>
      <c r="AA47" s="136">
        <v>102051</v>
      </c>
      <c r="AB47" s="137"/>
      <c r="AC47" s="138"/>
      <c r="AD47" s="10"/>
      <c r="AE47" s="4"/>
      <c r="AF47" s="4"/>
      <c r="AG47" s="4"/>
      <c r="AH47" s="4"/>
      <c r="AI47" s="124" t="s">
        <v>104</v>
      </c>
      <c r="AJ47" s="124"/>
      <c r="AK47" s="36">
        <v>0</v>
      </c>
      <c r="AL47" s="10">
        <v>0</v>
      </c>
      <c r="AM47" s="35">
        <v>0</v>
      </c>
      <c r="AN47" s="4"/>
    </row>
    <row r="48" spans="1:40" ht="16" customHeight="1" x14ac:dyDescent="0.3">
      <c r="Q48" s="4"/>
      <c r="R48" s="4"/>
      <c r="S48" s="4"/>
      <c r="T48" s="4"/>
      <c r="U48" s="4"/>
      <c r="V48" s="4"/>
      <c r="W48" s="4"/>
      <c r="X48" s="4"/>
      <c r="Y48" s="124" t="s">
        <v>228</v>
      </c>
      <c r="Z48" s="124"/>
      <c r="AA48" s="46">
        <f>ROUNDUP(IF(B5="均衡",IF(B1="红",IF(AA49&lt;=35048,0.0028132*AA49,IF(AA49&gt;=137135,172,0.000719*AA49+73.4)),IF(B2="红",IF(AA49&lt;=14400,0.0055556*AA49,IF(AA49&gt;=64000,142,0.00125*AA49+62)),IF(AA49&lt;=10000,0.00672*AA49,IF(AA49&gt;=36522,116,0.00184*AA49+48.8)))),IF(B1="红",IF(AA49&lt;=38997,0.0032156*AA49,IF(AA49&gt;=136601,215,0.000918*AA49+89.6)),IF(B2="红",IF(AA49&lt;=18135,0.0041465*AA49,IF(AA49&gt;=63729,129,0.00118*AA49+53.8)),IF(AA49&lt;=9927,0.0050166*AA49,IF(AA49&gt;=36350,86,0.00137*AA49+36.2))))),0)</f>
        <v>116</v>
      </c>
      <c r="AB48" s="47">
        <f>ROUNDUP(IF(B5="均衡",IF(B1="蓝",IF(AB49&lt;=35048,0.0028132*AB49,IF(AB49&gt;=137135,172,0.000719*AB49+73.4)),IF(B2="蓝",IF(AB49&lt;=14400,0.0055556*AB49,IF(AB49&gt;=64000,142,0.00125*AB49+62)),IF(AB49&lt;=10000,0.00672*AB49,IF(AB49&gt;=36522,116,0.00184*AB49+48.8)))),IF(B1="蓝",IF(AB49&lt;=38997,0.0032156*AB49,IF(AB49&gt;=136601,215,0.000918*AB49+89.6)),IF(B2="蓝",IF(AB49&lt;=18135,0.0041465*AB49,IF(AB49&gt;=63729,129,0.00118*AB49+53.8)),IF(AB49&lt;=9927,0.0050166*AB49,IF(AB49&gt;=36350,86,0.00137*AB49+36.2))))),0)</f>
        <v>118</v>
      </c>
      <c r="AC48" s="48">
        <f>ROUNDUP(IF(B5="均衡",IF(B1="黄",IF(AC49&lt;=35048,0.0028132*AC49,IF(AC49&gt;=137135,172,0.000719*AC49+73.4)),IF(B2="黄",IF(AC49&lt;=14400,0.0055556*AC49,IF(AC49&gt;=64000,142,0.00125*AC49+62)),IF(AC49&lt;=10000,0.00672*AC49,IF(AC49&gt;=36522,116,0.00184*AC49+48.8)))),IF(B1="黄",IF(AC49&lt;=38997,0.0032156*AC49,IF(AC49&gt;=136601,215,0.000918*AC49+89.6)),IF(B2="黄",IF(AC49&lt;=18135,0.0041465*AC49,IF(AC49&gt;=63729,129,0.00118*AC49+53.8)),IF(AC49&lt;=9927,0.0050166*AC49,IF(AC49&gt;=36350,86,0.00137*AC49+36.2))))),0)</f>
        <v>172</v>
      </c>
      <c r="AD48" s="10"/>
      <c r="AE48" s="4"/>
      <c r="AF48" s="4"/>
      <c r="AG48" s="4"/>
      <c r="AH48" s="4"/>
      <c r="AI48" s="124" t="s">
        <v>137</v>
      </c>
      <c r="AJ48" s="124"/>
      <c r="AK48" s="36">
        <v>0</v>
      </c>
      <c r="AL48" s="10">
        <v>0</v>
      </c>
      <c r="AM48" s="35">
        <v>0</v>
      </c>
      <c r="AN48" s="4"/>
    </row>
    <row r="49" spans="17:40" ht="16" customHeight="1" x14ac:dyDescent="0.3">
      <c r="Q49" s="4"/>
      <c r="R49" s="4"/>
      <c r="S49" s="4"/>
      <c r="T49" s="4"/>
      <c r="U49" s="4"/>
      <c r="V49" s="4"/>
      <c r="W49" s="4"/>
      <c r="X49" s="4"/>
      <c r="Y49" s="124" t="s">
        <v>198</v>
      </c>
      <c r="Z49" s="124"/>
      <c r="AA49" s="36">
        <v>73823</v>
      </c>
      <c r="AB49" s="10">
        <v>44056</v>
      </c>
      <c r="AC49" s="10">
        <v>297035</v>
      </c>
      <c r="AD49" s="31">
        <f>AA49+AB49+AC49</f>
        <v>414914</v>
      </c>
      <c r="AE49" s="4"/>
      <c r="AF49" s="4"/>
      <c r="AG49" s="4"/>
      <c r="AH49" s="4"/>
      <c r="AI49" s="124" t="s">
        <v>131</v>
      </c>
      <c r="AJ49" s="124"/>
      <c r="AK49" s="36">
        <v>0</v>
      </c>
      <c r="AL49" s="10">
        <v>0</v>
      </c>
      <c r="AM49" s="35">
        <v>0</v>
      </c>
      <c r="AN49" s="4"/>
    </row>
    <row r="50" spans="17:40" ht="16" customHeight="1" x14ac:dyDescent="0.3">
      <c r="Q50" s="4">
        <f>AA48+INT(AA48*AA45/100)+INT(AA48*AA46/100)+AA44</f>
        <v>1754</v>
      </c>
      <c r="R50" s="4">
        <f>AB48+INT(AB48*AB45/100)+INT(AB48*AA46/100)+AB44</f>
        <v>1245</v>
      </c>
      <c r="S50" s="4">
        <f>AC48+INT(AC48*AC45/100)+INT(AC48*AA46/100)+AC44</f>
        <v>1903</v>
      </c>
      <c r="T50" s="4"/>
      <c r="U50" s="4"/>
      <c r="V50" s="4"/>
      <c r="W50" s="4"/>
      <c r="X50" s="10"/>
      <c r="Y50" s="124" t="s">
        <v>200</v>
      </c>
      <c r="Z50" s="124"/>
      <c r="AA50" s="55">
        <f>IF(Q50&gt;=2300,2300,Q50)</f>
        <v>1754</v>
      </c>
      <c r="AB50" s="54">
        <f>IF(R50&gt;=2300,2300,R50)</f>
        <v>1245</v>
      </c>
      <c r="AC50" s="56">
        <f>IF(S50&gt;=2300,2300,S50)</f>
        <v>1903</v>
      </c>
      <c r="AD50" s="10"/>
      <c r="AE50" s="4"/>
      <c r="AF50" s="4"/>
      <c r="AG50" s="4"/>
      <c r="AH50" s="4"/>
      <c r="AI50" s="124" t="s">
        <v>229</v>
      </c>
      <c r="AJ50" s="124"/>
      <c r="AK50" s="36">
        <v>17</v>
      </c>
      <c r="AL50" s="10">
        <v>0</v>
      </c>
      <c r="AM50" s="35">
        <v>0</v>
      </c>
      <c r="AN50" s="4"/>
    </row>
    <row r="51" spans="17:40" ht="16" customHeight="1" x14ac:dyDescent="0.3">
      <c r="Q51" s="4"/>
      <c r="R51" s="4"/>
      <c r="S51" s="4"/>
      <c r="T51" s="4"/>
      <c r="U51" s="4"/>
      <c r="V51" s="4"/>
      <c r="W51" s="4"/>
      <c r="X51" s="10"/>
      <c r="Y51" s="124" t="s">
        <v>230</v>
      </c>
      <c r="Z51" s="124"/>
      <c r="AA51" s="133">
        <f>INT(IF(AD49&lt;=260115,0.114*AD49+5481,IF(AD49&lt;=621213,0.0273*AD49+28033,IF(AD49&gt;=1200808,49002,0.00619*AD49+41569))))+AA47</f>
        <v>141411</v>
      </c>
      <c r="AB51" s="133"/>
      <c r="AC51" s="123"/>
      <c r="AD51" s="10"/>
      <c r="AE51" s="4"/>
      <c r="AF51" s="4"/>
      <c r="AG51" s="4"/>
      <c r="AH51" s="4"/>
      <c r="AI51" s="124" t="s">
        <v>231</v>
      </c>
      <c r="AJ51" s="124"/>
      <c r="AK51" s="36">
        <v>105</v>
      </c>
      <c r="AL51" s="10">
        <v>0</v>
      </c>
      <c r="AM51" s="35">
        <v>110</v>
      </c>
      <c r="AN51" s="4"/>
    </row>
    <row r="52" spans="17:40" ht="16" customHeight="1" x14ac:dyDescent="0.3">
      <c r="Q52" s="4"/>
      <c r="R52" s="4"/>
      <c r="S52" s="4"/>
      <c r="T52" s="4"/>
      <c r="U52" s="4"/>
      <c r="V52" s="129" t="s">
        <v>232</v>
      </c>
      <c r="W52" s="129"/>
      <c r="X52" s="129"/>
      <c r="Y52" s="124" t="s">
        <v>233</v>
      </c>
      <c r="Z52" s="124"/>
      <c r="AA52" s="136">
        <f>INT((AA50+AB50+AC50)*2.3)+INT(IF(AA51&lt;120000,AA51*0.05+2600,IF(AA51&lt;140000,AA51*0.04+3800,AA51*0.03+5200)))</f>
        <v>20716</v>
      </c>
      <c r="AB52" s="136"/>
      <c r="AC52" s="63" t="str">
        <f>IF(AA52&gt;=23000,"SSS+",IF(AA52&gt;=20000,"SSS",IF(AA52&gt;=18000,"SS+",IF(AA52&gt;=16000,"SS","SS以下"))))</f>
        <v>SSS</v>
      </c>
      <c r="AD52" s="108" t="s">
        <v>234</v>
      </c>
      <c r="AE52" s="108"/>
      <c r="AF52" s="4"/>
      <c r="AG52" s="4"/>
      <c r="AH52" s="4"/>
      <c r="AI52" s="123" t="s">
        <v>5</v>
      </c>
      <c r="AJ52" s="123"/>
      <c r="AK52" s="36">
        <v>0</v>
      </c>
      <c r="AL52" s="10">
        <v>0</v>
      </c>
      <c r="AM52" s="10">
        <v>0</v>
      </c>
      <c r="AN52" s="64"/>
    </row>
    <row r="53" spans="17:40" ht="16" customHeight="1" x14ac:dyDescent="0.3">
      <c r="Q53" s="4"/>
      <c r="R53" s="4"/>
      <c r="S53" s="4"/>
      <c r="T53" s="4"/>
      <c r="U53" s="4"/>
      <c r="V53" s="37"/>
      <c r="W53" s="37"/>
      <c r="X53" s="37"/>
      <c r="Y53" s="10"/>
      <c r="Z53" s="10"/>
      <c r="AA53" s="10"/>
      <c r="AB53" s="10"/>
      <c r="AC53" s="4"/>
      <c r="AD53" s="10"/>
      <c r="AE53" s="4"/>
      <c r="AF53" s="4"/>
      <c r="AG53" s="4"/>
      <c r="AH53" s="4"/>
      <c r="AI53" s="124" t="s">
        <v>153</v>
      </c>
      <c r="AJ53" s="124"/>
      <c r="AK53" s="65">
        <v>0</v>
      </c>
      <c r="AL53" s="65">
        <v>0</v>
      </c>
      <c r="AM53" s="63">
        <v>0</v>
      </c>
      <c r="AN53" s="10"/>
    </row>
    <row r="54" spans="17:40" ht="16" customHeight="1" x14ac:dyDescent="0.3">
      <c r="Q54" s="4"/>
      <c r="R54" s="4"/>
      <c r="S54" s="4"/>
      <c r="T54" s="4"/>
      <c r="U54" s="4"/>
      <c r="V54" s="37"/>
      <c r="W54" s="37"/>
      <c r="X54" s="37"/>
      <c r="Y54" s="10"/>
      <c r="Z54" s="10"/>
      <c r="AA54" s="10"/>
      <c r="AB54" s="10"/>
      <c r="AC54" s="4"/>
      <c r="AD54" s="10"/>
      <c r="AE54" s="4"/>
      <c r="AF54" s="4"/>
      <c r="AG54" s="4"/>
      <c r="AH54" s="4"/>
      <c r="AI54" s="49"/>
      <c r="AJ54" s="49"/>
      <c r="AK54" s="49"/>
      <c r="AL54" s="49"/>
      <c r="AM54" s="49"/>
      <c r="AN54" s="10"/>
    </row>
  </sheetData>
  <mergeCells count="94">
    <mergeCell ref="AI53:AJ53"/>
    <mergeCell ref="V52:X52"/>
    <mergeCell ref="Y52:Z52"/>
    <mergeCell ref="AA52:AB52"/>
    <mergeCell ref="AI52:AJ52"/>
    <mergeCell ref="AD52:AE52"/>
    <mergeCell ref="Y49:Z49"/>
    <mergeCell ref="AI49:AJ49"/>
    <mergeCell ref="Y50:Z50"/>
    <mergeCell ref="AI50:AJ50"/>
    <mergeCell ref="Y51:Z51"/>
    <mergeCell ref="AA51:AC51"/>
    <mergeCell ref="AI51:AJ51"/>
    <mergeCell ref="Y47:Z47"/>
    <mergeCell ref="AA47:AC47"/>
    <mergeCell ref="AI47:AJ47"/>
    <mergeCell ref="Y48:Z48"/>
    <mergeCell ref="AI48:AJ48"/>
    <mergeCell ref="Y44:Z44"/>
    <mergeCell ref="AI44:AJ44"/>
    <mergeCell ref="Y45:Z45"/>
    <mergeCell ref="AI45:AJ45"/>
    <mergeCell ref="Y46:Z46"/>
    <mergeCell ref="AA46:AC46"/>
    <mergeCell ref="AI46:AJ46"/>
    <mergeCell ref="AI40:AJ40"/>
    <mergeCell ref="AI41:AJ41"/>
    <mergeCell ref="AG42:AH43"/>
    <mergeCell ref="AI42:AJ42"/>
    <mergeCell ref="Y43:AC43"/>
    <mergeCell ref="AI43:AJ43"/>
    <mergeCell ref="AG36:AH37"/>
    <mergeCell ref="AI36:AJ36"/>
    <mergeCell ref="AI37:AJ37"/>
    <mergeCell ref="AI38:AJ38"/>
    <mergeCell ref="AI39:AJ39"/>
    <mergeCell ref="AI30:AJ30"/>
    <mergeCell ref="AI31:AJ31"/>
    <mergeCell ref="AI32:AJ32"/>
    <mergeCell ref="AI33:AM33"/>
    <mergeCell ref="AG34:AH35"/>
    <mergeCell ref="AI34:AJ34"/>
    <mergeCell ref="AI35:AJ35"/>
    <mergeCell ref="AI16:AJ16"/>
    <mergeCell ref="AI21:AJ21"/>
    <mergeCell ref="AI22:AJ22"/>
    <mergeCell ref="AI23:AJ23"/>
    <mergeCell ref="AI29:AJ29"/>
    <mergeCell ref="AK8:AM8"/>
    <mergeCell ref="Q9:U10"/>
    <mergeCell ref="AD14:AH14"/>
    <mergeCell ref="AI14:AJ14"/>
    <mergeCell ref="AI15:AJ15"/>
    <mergeCell ref="Q7:T7"/>
    <mergeCell ref="W7:Z7"/>
    <mergeCell ref="AC7:AF7"/>
    <mergeCell ref="AI7:AJ7"/>
    <mergeCell ref="AI8:AJ8"/>
    <mergeCell ref="Q5:T5"/>
    <mergeCell ref="W5:Z5"/>
    <mergeCell ref="AC5:AF5"/>
    <mergeCell ref="AI5:AM5"/>
    <mergeCell ref="Q6:T6"/>
    <mergeCell ref="W6:Z6"/>
    <mergeCell ref="AC6:AF6"/>
    <mergeCell ref="AI6:AJ6"/>
    <mergeCell ref="A6:B6"/>
    <mergeCell ref="I9:L9"/>
    <mergeCell ref="D9:G9"/>
    <mergeCell ref="AI1:AM1"/>
    <mergeCell ref="Q2:T2"/>
    <mergeCell ref="W2:Z2"/>
    <mergeCell ref="AC2:AF2"/>
    <mergeCell ref="AI2:AM2"/>
    <mergeCell ref="Q3:T3"/>
    <mergeCell ref="W3:Z3"/>
    <mergeCell ref="AC3:AF3"/>
    <mergeCell ref="AI3:AJ3"/>
    <mergeCell ref="Q4:T4"/>
    <mergeCell ref="W4:Z4"/>
    <mergeCell ref="AC4:AF4"/>
    <mergeCell ref="AI4:AJ4"/>
    <mergeCell ref="K4:N4"/>
    <mergeCell ref="K3:N3"/>
    <mergeCell ref="K2:N2"/>
    <mergeCell ref="K7:N7"/>
    <mergeCell ref="E7:H7"/>
    <mergeCell ref="K6:N6"/>
    <mergeCell ref="E6:H6"/>
    <mergeCell ref="K5:N5"/>
    <mergeCell ref="E5:H5"/>
    <mergeCell ref="E4:H4"/>
    <mergeCell ref="E3:H3"/>
    <mergeCell ref="E2:H2"/>
  </mergeCells>
  <phoneticPr fontId="10" type="noConversion"/>
  <conditionalFormatting sqref="E2:H4 K2:N4">
    <cfRule type="expression" dxfId="35" priority="34" stopIfTrue="1">
      <formula>AND($B$1="黄",ROW()&gt;=2,ROW()&lt;=4)</formula>
    </cfRule>
    <cfRule type="expression" dxfId="34" priority="33" stopIfTrue="1">
      <formula>AND($B$1="红",ROW()&gt;=2,ROW()&lt;=4)</formula>
    </cfRule>
    <cfRule type="expression" dxfId="33" priority="32" stopIfTrue="1">
      <formula>AND($B$1="蓝",ROW()&gt;=2,ROW()&lt;=4)</formula>
    </cfRule>
  </conditionalFormatting>
  <conditionalFormatting sqref="E5:H7">
    <cfRule type="expression" dxfId="32" priority="31" stopIfTrue="1">
      <formula>AND($B$2="黄",ROW()&gt;=5,ROW()&lt;=7)</formula>
    </cfRule>
    <cfRule type="expression" dxfId="31" priority="30" stopIfTrue="1">
      <formula>AND($B$2="红",ROW()&gt;=5,ROW()&lt;=7)</formula>
    </cfRule>
    <cfRule type="expression" dxfId="30" priority="29" stopIfTrue="1">
      <formula>AND($B$2="蓝",ROW()&gt;=5,ROW()&lt;=7)</formula>
    </cfRule>
  </conditionalFormatting>
  <conditionalFormatting sqref="K5:N6">
    <cfRule type="expression" dxfId="29" priority="28" stopIfTrue="1">
      <formula>AND($B$2="黄",ROW()&gt;=5,ROW()&lt;=7)</formula>
    </cfRule>
    <cfRule type="expression" dxfId="28" priority="27" stopIfTrue="1">
      <formula>AND($B$2="红",ROW()&gt;=5,ROW()&lt;=7)</formula>
    </cfRule>
    <cfRule type="expression" dxfId="27" priority="26" stopIfTrue="1">
      <formula>AND($B$2="蓝",ROW()&gt;=5,ROW()&lt;=7)</formula>
    </cfRule>
  </conditionalFormatting>
  <conditionalFormatting sqref="K7:N7 Q7:T7">
    <cfRule type="expression" dxfId="26" priority="25" stopIfTrue="1">
      <formula>AND(OR(AND($B$2="红",$B$1="黄"),AND($B$2="黄",$B$1="红")),ROW()&gt;=7,ROW()&lt;=7)</formula>
    </cfRule>
    <cfRule type="expression" dxfId="25" priority="24" stopIfTrue="1">
      <formula>AND(OR(AND($B$2="黄",$B$1="蓝"),AND($B$2="蓝",$B$1="黄")),ROW()&gt;=7,ROW()&lt;=7)</formula>
    </cfRule>
    <cfRule type="expression" dxfId="24" priority="23" stopIfTrue="1">
      <formula>AND(OR(AND($B$2="红",$B$1="蓝"),AND($B$2="蓝",$B$1="红")),ROW()&gt;=7,ROW()&lt;=7)</formula>
    </cfRule>
  </conditionalFormatting>
  <conditionalFormatting sqref="Q2:T4">
    <cfRule type="expression" dxfId="23" priority="20" stopIfTrue="1">
      <formula>AND($B$2="蓝",ROW()&gt;=2,ROW()&lt;=4)</formula>
    </cfRule>
    <cfRule type="expression" dxfId="22" priority="22" stopIfTrue="1">
      <formula>AND($B$2="黄",ROW()&gt;=2,ROW()&lt;=4)</formula>
    </cfRule>
    <cfRule type="expression" dxfId="21" priority="21" stopIfTrue="1">
      <formula>AND($B$2="红",ROW()&gt;=2,ROW()&lt;=4)</formula>
    </cfRule>
  </conditionalFormatting>
  <conditionalFormatting sqref="Q5:T6">
    <cfRule type="expression" dxfId="20" priority="17" stopIfTrue="1">
      <formula>AND($B$1="蓝",ROW()&gt;=5,ROW()&lt;=6)</formula>
    </cfRule>
    <cfRule type="expression" dxfId="19" priority="18" stopIfTrue="1">
      <formula>AND($B$1="红",ROW()&gt;=5,ROW()&lt;=6)</formula>
    </cfRule>
    <cfRule type="expression" dxfId="18" priority="19" stopIfTrue="1">
      <formula>AND($B$1="黄",ROW()&gt;=5,ROW()&lt;=6)</formula>
    </cfRule>
  </conditionalFormatting>
  <conditionalFormatting sqref="Q7:T7">
    <cfRule type="expression" dxfId="17" priority="37" stopIfTrue="1">
      <formula>AND($B$2="红蓝", ROW()=7)</formula>
    </cfRule>
    <cfRule type="expression" dxfId="16" priority="35" stopIfTrue="1">
      <formula>AND($B$2="红黄", ROW()=7)</formula>
    </cfRule>
    <cfRule type="expression" dxfId="15" priority="36" stopIfTrue="1">
      <formula>AND($B$2="蓝黄", ROW()=7)</formula>
    </cfRule>
  </conditionalFormatting>
  <conditionalFormatting sqref="W2:Z3">
    <cfRule type="expression" dxfId="14" priority="14" stopIfTrue="1">
      <formula>AND($B$1="蓝",ROW()&gt;=2,ROW()&lt;=3)</formula>
    </cfRule>
    <cfRule type="expression" dxfId="13" priority="16" stopIfTrue="1">
      <formula>AND($B$1="黄",ROW()&gt;=2,ROW()&lt;=3)</formula>
    </cfRule>
    <cfRule type="expression" dxfId="12" priority="15" stopIfTrue="1">
      <formula>AND($B$1="红",ROW()&gt;=2,ROW()&lt;=3)</formula>
    </cfRule>
  </conditionalFormatting>
  <conditionalFormatting sqref="W4:Z5">
    <cfRule type="expression" dxfId="11" priority="13" stopIfTrue="1">
      <formula>AND($B$2="黄",ROW()&gt;=4,ROW()&lt;=5)</formula>
    </cfRule>
    <cfRule type="expression" dxfId="10" priority="12" stopIfTrue="1">
      <formula>AND($B$2="红",ROW()&gt;=4,ROW()&lt;=5)</formula>
    </cfRule>
    <cfRule type="expression" dxfId="9" priority="11" stopIfTrue="1">
      <formula>AND($B$2="蓝",ROW()&gt;=4,ROW()&lt;=5)</formula>
    </cfRule>
  </conditionalFormatting>
  <conditionalFormatting sqref="W6:Z7">
    <cfRule type="expression" dxfId="8" priority="10" stopIfTrue="1">
      <formula>AND(OR(AND($B$2="红",$B$1="蓝"),AND($B$2="蓝",$B$1="红")),ROW()&gt;=6,ROW()&lt;=7)</formula>
    </cfRule>
    <cfRule type="expression" dxfId="7" priority="9" stopIfTrue="1">
      <formula>AND(OR(AND($B$2="蓝",$B$1="黄"),AND($B$2="黄",$B$1="蓝")),ROW()&gt;=6,ROW()&lt;=7)</formula>
    </cfRule>
    <cfRule type="expression" dxfId="6" priority="8" stopIfTrue="1">
      <formula>AND(OR(AND($B$2="红",$B$1="黄"),AND($B$2="黄",$B$1="红")),ROW()&gt;=6,ROW()&lt;=7)</formula>
    </cfRule>
  </conditionalFormatting>
  <conditionalFormatting sqref="AC2:AF3">
    <cfRule type="expression" dxfId="5" priority="7" stopIfTrue="1">
      <formula>AND($B$1="蓝",ROW()&gt;=2,ROW()&lt;=3)</formula>
    </cfRule>
    <cfRule type="expression" dxfId="4" priority="6" stopIfTrue="1">
      <formula>AND($B$1="红",ROW()&gt;=2,ROW()&lt;=3)</formula>
    </cfRule>
    <cfRule type="expression" dxfId="3" priority="5" stopIfTrue="1">
      <formula>AND($B$1="黄",ROW()&gt;=2,ROW()&lt;=3)</formula>
    </cfRule>
  </conditionalFormatting>
  <conditionalFormatting sqref="AC4:AF7">
    <cfRule type="expression" dxfId="2" priority="4" stopIfTrue="1">
      <formula>AND($B$2="蓝",ROW()&gt;=4,ROW()&lt;=7)</formula>
    </cfRule>
    <cfRule type="expression" dxfId="1" priority="3" stopIfTrue="1">
      <formula>AND($B$2="红",ROW()&gt;=4,ROW()&lt;=7)</formula>
    </cfRule>
    <cfRule type="expression" dxfId="0" priority="2" stopIfTrue="1">
      <formula>AND($B$2="黄",ROW()&gt;=4,ROW()&lt;=7)</formula>
    </cfRule>
  </conditionalFormatting>
  <dataValidations count="5">
    <dataValidation type="list" allowBlank="1" showErrorMessage="1" sqref="B3" xr:uid="{00000000-0002-0000-0100-000000000000}">
      <formula1>"感性,理性,非凡"</formula1>
    </dataValidation>
    <dataValidation type="list" allowBlank="1" showErrorMessage="1" sqref="B5" xr:uid="{00000000-0002-0000-0100-000001000000}">
      <formula1>"单极,均衡"</formula1>
    </dataValidation>
    <dataValidation type="list" allowBlank="1" showErrorMessage="1" sqref="C2:C4" xr:uid="{00000000-0002-0000-0100-000002000000}">
      <formula1>"0,1,2,3"</formula1>
    </dataValidation>
    <dataValidation type="list" allowBlank="1" showErrorMessage="1" sqref="B1:B2" xr:uid="{00000000-0002-0000-0100-000003000000}">
      <formula1>"红,蓝,黄"</formula1>
    </dataValidation>
    <dataValidation type="list" allowBlank="1" showErrorMessage="1" sqref="B4 C6" xr:uid="{00000000-0002-0000-0100-000004000000}">
      <formula1>"计算,不计算"</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E1C9-DF6A-486A-AF66-1236592B5448}">
  <sheetPr>
    <outlinePr summaryBelow="0" summaryRight="0"/>
  </sheetPr>
  <dimension ref="A1:M26"/>
  <sheetViews>
    <sheetView workbookViewId="0"/>
  </sheetViews>
  <sheetFormatPr defaultColWidth="14" defaultRowHeight="13" x14ac:dyDescent="0.3"/>
  <cols>
    <col min="1" max="20" width="9" customWidth="1"/>
  </cols>
  <sheetData>
    <row r="1" spans="1:13" ht="16" customHeight="1" x14ac:dyDescent="0.3">
      <c r="A1" s="82">
        <f>IF(AQ4=-1,0,INDEX(I3,AQ4+1))</f>
        <v>33</v>
      </c>
      <c r="B1" s="82" t="s">
        <v>235</v>
      </c>
      <c r="C1" s="82"/>
      <c r="D1" s="82"/>
      <c r="E1" s="82"/>
      <c r="F1" s="82"/>
      <c r="G1" s="82"/>
      <c r="H1" s="82" t="s">
        <v>236</v>
      </c>
      <c r="I1" s="82"/>
      <c r="J1" s="82"/>
      <c r="K1" s="82"/>
      <c r="L1" s="82"/>
      <c r="M1" s="82"/>
    </row>
    <row r="2" spans="1:13" ht="16" customHeight="1" x14ac:dyDescent="0.3">
      <c r="A2" s="82" t="s">
        <v>16</v>
      </c>
      <c r="B2" s="82"/>
      <c r="C2" s="82">
        <v>30</v>
      </c>
      <c r="D2" s="82">
        <v>35</v>
      </c>
      <c r="E2" s="82">
        <v>40</v>
      </c>
      <c r="F2" s="82"/>
      <c r="G2" s="82"/>
      <c r="H2" s="82"/>
      <c r="I2" s="82">
        <v>22</v>
      </c>
      <c r="J2" s="82">
        <v>26</v>
      </c>
      <c r="K2" s="82">
        <v>30</v>
      </c>
      <c r="L2" s="82"/>
      <c r="M2" s="82"/>
    </row>
    <row r="3" spans="1:13" ht="16" customHeight="1" x14ac:dyDescent="0.3">
      <c r="A3" s="82" t="s">
        <v>15</v>
      </c>
      <c r="B3" s="82"/>
      <c r="C3" s="82">
        <v>48</v>
      </c>
      <c r="D3" s="82">
        <v>51</v>
      </c>
      <c r="E3" s="82">
        <v>54</v>
      </c>
      <c r="F3" s="82">
        <v>57</v>
      </c>
      <c r="G3" s="82">
        <v>60</v>
      </c>
      <c r="H3" s="82"/>
      <c r="I3" s="82">
        <v>33</v>
      </c>
      <c r="J3" s="82">
        <v>36</v>
      </c>
      <c r="K3" s="82">
        <v>39</v>
      </c>
      <c r="L3" s="82">
        <v>42</v>
      </c>
      <c r="M3" s="82">
        <v>45</v>
      </c>
    </row>
    <row r="4" spans="1:13" ht="16" customHeight="1" x14ac:dyDescent="0.3">
      <c r="A4" s="82" t="s">
        <v>17</v>
      </c>
      <c r="B4" s="82"/>
      <c r="C4" s="82">
        <v>6.5</v>
      </c>
      <c r="D4" s="82">
        <v>7</v>
      </c>
      <c r="E4" s="82">
        <v>7.5</v>
      </c>
      <c r="F4" s="82">
        <v>8</v>
      </c>
      <c r="G4" s="82">
        <v>8.5</v>
      </c>
      <c r="H4" s="82"/>
      <c r="I4" s="82">
        <v>4.4000000000000004</v>
      </c>
      <c r="J4" s="82">
        <v>4.9000000000000004</v>
      </c>
      <c r="K4" s="82">
        <v>5.4</v>
      </c>
      <c r="L4" s="82">
        <v>5.9</v>
      </c>
      <c r="M4" s="82">
        <v>6.4</v>
      </c>
    </row>
    <row r="5" spans="1:13" ht="16" customHeight="1" x14ac:dyDescent="0.3">
      <c r="A5" s="82" t="s">
        <v>21</v>
      </c>
      <c r="B5" s="82"/>
      <c r="C5" s="82">
        <v>17</v>
      </c>
      <c r="D5" s="82">
        <v>22</v>
      </c>
      <c r="E5" s="82"/>
      <c r="F5" s="82"/>
      <c r="G5" s="82"/>
      <c r="H5" s="82"/>
      <c r="I5" s="82">
        <v>9</v>
      </c>
      <c r="J5" s="82">
        <v>17</v>
      </c>
      <c r="K5" s="82"/>
      <c r="L5" s="82"/>
      <c r="M5" s="82"/>
    </row>
    <row r="6" spans="1:13" ht="16" customHeight="1" x14ac:dyDescent="0.3">
      <c r="A6" s="82" t="s">
        <v>13</v>
      </c>
      <c r="B6" s="82"/>
      <c r="C6" s="82">
        <v>4</v>
      </c>
      <c r="D6" s="82">
        <v>6</v>
      </c>
      <c r="E6" s="82"/>
      <c r="F6" s="82">
        <v>3</v>
      </c>
      <c r="G6" s="82">
        <v>4</v>
      </c>
      <c r="H6" s="82"/>
      <c r="I6" s="82">
        <v>2</v>
      </c>
      <c r="J6" s="82">
        <v>4</v>
      </c>
      <c r="K6" s="82"/>
      <c r="L6" s="82"/>
      <c r="M6" s="82"/>
    </row>
    <row r="7" spans="1:13" ht="16" customHeight="1" x14ac:dyDescent="0.3">
      <c r="A7" s="82" t="s">
        <v>36</v>
      </c>
      <c r="B7" s="82"/>
      <c r="C7" s="82">
        <v>13</v>
      </c>
      <c r="D7" s="82">
        <v>17</v>
      </c>
      <c r="E7" s="82"/>
      <c r="F7" s="82">
        <v>9</v>
      </c>
      <c r="G7" s="82">
        <v>13</v>
      </c>
      <c r="H7" s="82"/>
      <c r="I7" s="82">
        <v>7</v>
      </c>
      <c r="J7" s="82">
        <v>13</v>
      </c>
      <c r="K7" s="82"/>
      <c r="L7" s="82"/>
      <c r="M7" s="82"/>
    </row>
    <row r="8" spans="1:13" ht="16" customHeight="1" x14ac:dyDescent="0.3">
      <c r="A8" s="82" t="s">
        <v>29</v>
      </c>
      <c r="B8" s="82"/>
      <c r="C8" s="82"/>
      <c r="D8" s="82"/>
      <c r="E8" s="82"/>
      <c r="F8" s="82"/>
      <c r="G8" s="82"/>
      <c r="H8" s="82"/>
      <c r="I8" s="82">
        <v>7</v>
      </c>
      <c r="J8" s="82">
        <v>13</v>
      </c>
      <c r="K8" s="82"/>
      <c r="L8" s="82"/>
      <c r="M8" s="82"/>
    </row>
    <row r="9" spans="1:13" ht="16" customHeight="1" x14ac:dyDescent="0.3">
      <c r="A9" s="82" t="s">
        <v>14</v>
      </c>
      <c r="B9" s="82"/>
      <c r="C9" s="82">
        <v>3</v>
      </c>
      <c r="D9" s="82">
        <v>4</v>
      </c>
      <c r="E9" s="82"/>
      <c r="F9" s="82"/>
      <c r="G9" s="82"/>
      <c r="H9" s="82"/>
      <c r="I9" s="82">
        <v>2</v>
      </c>
      <c r="J9" s="82">
        <v>3</v>
      </c>
      <c r="K9" s="82"/>
      <c r="L9" s="82"/>
      <c r="M9" s="82"/>
    </row>
    <row r="10" spans="1:13" ht="16" customHeight="1" x14ac:dyDescent="0.3">
      <c r="A10" s="82" t="s">
        <v>38</v>
      </c>
      <c r="B10" s="82"/>
      <c r="C10" s="82">
        <v>7</v>
      </c>
      <c r="D10" s="82">
        <v>9</v>
      </c>
      <c r="E10" s="82"/>
      <c r="F10" s="82">
        <v>5</v>
      </c>
      <c r="G10" s="82">
        <v>7</v>
      </c>
      <c r="H10" s="82"/>
      <c r="I10" s="82">
        <v>4</v>
      </c>
      <c r="J10" s="82">
        <v>6</v>
      </c>
      <c r="K10" s="82"/>
      <c r="L10" s="82"/>
      <c r="M10" s="82"/>
    </row>
    <row r="11" spans="1:13" ht="16" customHeight="1" x14ac:dyDescent="0.3">
      <c r="A11" s="82" t="s">
        <v>130</v>
      </c>
      <c r="B11" s="82"/>
      <c r="C11" s="82">
        <v>7</v>
      </c>
      <c r="D11" s="82">
        <v>9</v>
      </c>
      <c r="E11" s="82"/>
      <c r="F11" s="82">
        <v>5</v>
      </c>
      <c r="G11" s="82">
        <v>7</v>
      </c>
      <c r="H11" s="82"/>
      <c r="I11" s="82"/>
      <c r="J11" s="82"/>
      <c r="K11" s="82"/>
      <c r="L11" s="82"/>
      <c r="M11" s="82"/>
    </row>
    <row r="12" spans="1:13" ht="16" customHeight="1" x14ac:dyDescent="0.3">
      <c r="A12" s="82" t="s">
        <v>47</v>
      </c>
      <c r="B12" s="82"/>
      <c r="C12" s="82">
        <v>12</v>
      </c>
      <c r="D12" s="82">
        <v>17</v>
      </c>
      <c r="E12" s="82"/>
      <c r="F12" s="82"/>
      <c r="G12" s="82"/>
      <c r="H12" s="82"/>
      <c r="I12" s="82">
        <v>6</v>
      </c>
      <c r="J12" s="82">
        <v>11</v>
      </c>
      <c r="K12" s="82"/>
      <c r="L12" s="82"/>
      <c r="M12" s="82"/>
    </row>
    <row r="13" spans="1:13" ht="16" customHeight="1" x14ac:dyDescent="0.3">
      <c r="A13" s="82" t="s">
        <v>18</v>
      </c>
      <c r="B13" s="82"/>
      <c r="C13" s="82">
        <v>2</v>
      </c>
      <c r="D13" s="82">
        <v>3</v>
      </c>
      <c r="E13" s="82"/>
      <c r="F13" s="82">
        <v>1</v>
      </c>
      <c r="G13" s="82">
        <v>2</v>
      </c>
      <c r="H13" s="82"/>
      <c r="I13" s="82"/>
      <c r="J13" s="82"/>
      <c r="K13" s="82"/>
      <c r="L13" s="82"/>
      <c r="M13" s="82"/>
    </row>
    <row r="14" spans="1:13" ht="16" customHeight="1" x14ac:dyDescent="0.3">
      <c r="A14" s="82" t="s">
        <v>12</v>
      </c>
      <c r="B14" s="82"/>
      <c r="C14" s="82">
        <v>2</v>
      </c>
      <c r="D14" s="82">
        <v>3</v>
      </c>
      <c r="E14" s="82"/>
      <c r="F14" s="84">
        <v>1</v>
      </c>
      <c r="G14" s="84">
        <v>2</v>
      </c>
      <c r="H14" s="82"/>
      <c r="I14" s="82"/>
      <c r="J14" s="82"/>
      <c r="K14" s="82"/>
      <c r="L14" s="82"/>
      <c r="M14" s="82"/>
    </row>
    <row r="15" spans="1:13" ht="16" customHeight="1" x14ac:dyDescent="0.3">
      <c r="A15" s="82" t="s">
        <v>97</v>
      </c>
      <c r="B15" s="82"/>
      <c r="C15" s="82"/>
      <c r="D15" s="82"/>
      <c r="E15" s="82"/>
      <c r="F15" s="82"/>
      <c r="G15" s="82"/>
      <c r="H15" s="82"/>
      <c r="I15" s="82">
        <v>1</v>
      </c>
      <c r="J15" s="82">
        <v>2</v>
      </c>
      <c r="K15" s="82"/>
      <c r="L15" s="82"/>
      <c r="M15" s="82"/>
    </row>
    <row r="16" spans="1:13" ht="16" customHeight="1" x14ac:dyDescent="0.3">
      <c r="A16" s="82" t="s">
        <v>8</v>
      </c>
      <c r="B16" s="82"/>
      <c r="C16" s="82">
        <v>5</v>
      </c>
      <c r="D16" s="82">
        <v>7</v>
      </c>
      <c r="E16" s="82"/>
      <c r="F16" s="82">
        <v>4</v>
      </c>
      <c r="G16" s="82">
        <v>5</v>
      </c>
      <c r="H16" s="82"/>
      <c r="I16" s="84">
        <v>3</v>
      </c>
      <c r="J16" s="84">
        <v>5</v>
      </c>
      <c r="K16" s="82"/>
      <c r="L16" s="82"/>
      <c r="M16" s="82"/>
    </row>
    <row r="17" spans="1:13" ht="16" customHeight="1" x14ac:dyDescent="0.3">
      <c r="A17" s="82" t="s">
        <v>19</v>
      </c>
      <c r="B17" s="82"/>
      <c r="C17" s="82">
        <v>11</v>
      </c>
      <c r="D17" s="82">
        <v>15</v>
      </c>
      <c r="E17" s="82"/>
      <c r="F17" s="82"/>
      <c r="G17" s="82"/>
      <c r="H17" s="82"/>
      <c r="I17" s="82">
        <v>5</v>
      </c>
      <c r="J17" s="82">
        <v>10</v>
      </c>
      <c r="K17" s="82"/>
      <c r="L17" s="82"/>
      <c r="M17" s="82"/>
    </row>
    <row r="18" spans="1:13" ht="16" customHeight="1" x14ac:dyDescent="0.3">
      <c r="A18" s="82" t="s">
        <v>20</v>
      </c>
      <c r="B18" s="82"/>
      <c r="C18" s="82">
        <v>8</v>
      </c>
      <c r="D18" s="82">
        <v>11</v>
      </c>
      <c r="E18" s="82"/>
      <c r="F18" s="82">
        <v>6</v>
      </c>
      <c r="G18" s="82">
        <v>8</v>
      </c>
      <c r="H18" s="82"/>
      <c r="I18" s="82">
        <v>4</v>
      </c>
      <c r="J18" s="82">
        <v>8</v>
      </c>
      <c r="K18" s="82"/>
      <c r="L18" s="82"/>
      <c r="M18" s="82"/>
    </row>
    <row r="19" spans="1:13" ht="16" customHeight="1" x14ac:dyDescent="0.3">
      <c r="A19" s="82" t="s">
        <v>39</v>
      </c>
      <c r="B19" s="82"/>
      <c r="C19" s="82">
        <v>17</v>
      </c>
      <c r="D19" s="82">
        <v>22</v>
      </c>
      <c r="E19" s="82"/>
      <c r="F19" s="82">
        <v>11</v>
      </c>
      <c r="G19" s="82">
        <v>17</v>
      </c>
      <c r="H19" s="82"/>
      <c r="I19" s="82">
        <v>9</v>
      </c>
      <c r="J19" s="82">
        <v>17</v>
      </c>
      <c r="K19" s="82"/>
      <c r="L19" s="82"/>
      <c r="M19" s="82"/>
    </row>
    <row r="20" spans="1:13" ht="16" customHeight="1" x14ac:dyDescent="0.3">
      <c r="A20" s="82" t="s">
        <v>149</v>
      </c>
      <c r="B20" s="82"/>
      <c r="C20" s="82">
        <v>8</v>
      </c>
      <c r="D20" s="82">
        <v>11</v>
      </c>
      <c r="E20" s="82"/>
      <c r="F20" s="84">
        <v>4</v>
      </c>
      <c r="G20" s="84">
        <v>5</v>
      </c>
      <c r="H20" s="82"/>
      <c r="I20" s="82">
        <v>4</v>
      </c>
      <c r="J20" s="82">
        <v>8</v>
      </c>
      <c r="K20" s="82"/>
      <c r="L20" s="82"/>
      <c r="M20" s="82"/>
    </row>
    <row r="21" spans="1:13" ht="16" customHeight="1" x14ac:dyDescent="0.3">
      <c r="A21" s="82" t="s">
        <v>104</v>
      </c>
      <c r="B21" s="82"/>
      <c r="C21" s="82">
        <v>3</v>
      </c>
      <c r="D21" s="82">
        <v>4</v>
      </c>
      <c r="E21" s="82"/>
      <c r="F21" s="82"/>
      <c r="G21" s="82"/>
      <c r="H21" s="82"/>
      <c r="I21" s="82"/>
      <c r="J21" s="82"/>
      <c r="K21" s="82"/>
      <c r="L21" s="82"/>
      <c r="M21" s="82"/>
    </row>
    <row r="22" spans="1:13" ht="16" customHeight="1" x14ac:dyDescent="0.3">
      <c r="A22" s="82" t="s">
        <v>84</v>
      </c>
      <c r="B22" s="82"/>
      <c r="C22" s="82">
        <v>8</v>
      </c>
      <c r="D22" s="82">
        <v>11</v>
      </c>
      <c r="E22" s="82" t="s">
        <v>237</v>
      </c>
      <c r="F22" s="82">
        <v>17</v>
      </c>
      <c r="G22" s="82">
        <v>22</v>
      </c>
      <c r="H22" s="82"/>
      <c r="I22" s="82">
        <v>4</v>
      </c>
      <c r="J22" s="82">
        <v>8</v>
      </c>
      <c r="K22" s="83" t="s">
        <v>237</v>
      </c>
      <c r="L22" s="83">
        <v>8</v>
      </c>
      <c r="M22" s="83">
        <v>16</v>
      </c>
    </row>
    <row r="23" spans="1:13" ht="16" customHeight="1" x14ac:dyDescent="0.3">
      <c r="A23" s="82" t="s">
        <v>137</v>
      </c>
      <c r="B23" s="82"/>
      <c r="C23" s="82">
        <v>3</v>
      </c>
      <c r="D23" s="82">
        <v>4</v>
      </c>
      <c r="E23" s="82"/>
      <c r="F23" s="82"/>
      <c r="G23" s="82"/>
      <c r="H23" s="82"/>
      <c r="I23" s="82"/>
      <c r="J23" s="82"/>
      <c r="K23" s="82"/>
      <c r="L23" s="82"/>
      <c r="M23" s="82"/>
    </row>
    <row r="24" spans="1:13" ht="16" customHeight="1" x14ac:dyDescent="0.3">
      <c r="A24" s="85" t="s">
        <v>131</v>
      </c>
      <c r="C24" s="82">
        <v>3</v>
      </c>
      <c r="D24" s="82">
        <v>4</v>
      </c>
      <c r="I24" s="1">
        <v>2</v>
      </c>
      <c r="J24" s="1">
        <v>3</v>
      </c>
    </row>
    <row r="25" spans="1:13" ht="16" customHeight="1" x14ac:dyDescent="0.3">
      <c r="A25" s="82" t="s">
        <v>145</v>
      </c>
      <c r="C25" s="82">
        <v>16</v>
      </c>
      <c r="D25" s="82">
        <v>21</v>
      </c>
    </row>
    <row r="26" spans="1:13" ht="16" customHeight="1" x14ac:dyDescent="0.3">
      <c r="A26" s="83" t="s">
        <v>153</v>
      </c>
      <c r="B26" s="4"/>
      <c r="C26" s="83">
        <v>8</v>
      </c>
      <c r="D26" s="83">
        <v>11</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1F80F-BDFC-415D-AC02-A0EAB2B0A6ED}">
  <sheetPr>
    <outlinePr summaryBelow="0" summaryRight="0"/>
  </sheetPr>
  <dimension ref="A1:AU129"/>
  <sheetViews>
    <sheetView workbookViewId="0">
      <selection activeCell="J4" sqref="J4"/>
    </sheetView>
  </sheetViews>
  <sheetFormatPr defaultColWidth="14" defaultRowHeight="13" x14ac:dyDescent="0.3"/>
  <cols>
    <col min="1" max="47" width="14" customWidth="1"/>
  </cols>
  <sheetData>
    <row r="1" spans="1:47" ht="19" customHeight="1" x14ac:dyDescent="0.3">
      <c r="D1" s="1" t="s">
        <v>238</v>
      </c>
      <c r="E1" s="90" t="s">
        <v>164</v>
      </c>
      <c r="F1" s="90" t="s">
        <v>239</v>
      </c>
      <c r="G1" s="90" t="s">
        <v>240</v>
      </c>
      <c r="H1" s="1" t="s">
        <v>241</v>
      </c>
      <c r="I1" s="1" t="s">
        <v>242</v>
      </c>
      <c r="J1" s="1" t="s">
        <v>243</v>
      </c>
      <c r="L1" s="1" t="s">
        <v>244</v>
      </c>
      <c r="M1" s="1" t="s">
        <v>245</v>
      </c>
      <c r="N1" s="1" t="s">
        <v>246</v>
      </c>
      <c r="O1" s="1" t="s">
        <v>247</v>
      </c>
      <c r="P1" s="1" t="s">
        <v>248</v>
      </c>
      <c r="Q1" s="1" t="s">
        <v>249</v>
      </c>
      <c r="R1" s="1" t="s">
        <v>250</v>
      </c>
      <c r="S1" s="1" t="s">
        <v>251</v>
      </c>
      <c r="T1" s="1" t="s">
        <v>252</v>
      </c>
      <c r="U1" s="1" t="s">
        <v>253</v>
      </c>
      <c r="V1" s="1" t="s">
        <v>254</v>
      </c>
      <c r="W1" s="1" t="s">
        <v>255</v>
      </c>
      <c r="X1" s="1" t="s">
        <v>256</v>
      </c>
      <c r="Y1" s="1" t="s">
        <v>257</v>
      </c>
      <c r="Z1" s="1" t="s">
        <v>258</v>
      </c>
      <c r="AA1" s="1" t="s">
        <v>259</v>
      </c>
      <c r="AB1" s="1" t="s">
        <v>260</v>
      </c>
      <c r="AC1" s="1" t="s">
        <v>261</v>
      </c>
      <c r="AD1" s="1" t="s">
        <v>262</v>
      </c>
      <c r="AE1" s="1" t="s">
        <v>263</v>
      </c>
      <c r="AF1" s="1" t="s">
        <v>264</v>
      </c>
      <c r="AG1" s="1" t="s">
        <v>265</v>
      </c>
      <c r="AH1" s="1" t="s">
        <v>266</v>
      </c>
      <c r="AI1" s="1" t="s">
        <v>267</v>
      </c>
      <c r="AJ1" s="1" t="s">
        <v>268</v>
      </c>
      <c r="AK1" s="1" t="s">
        <v>269</v>
      </c>
      <c r="AL1" s="1" t="s">
        <v>270</v>
      </c>
      <c r="AM1" s="1" t="s">
        <v>271</v>
      </c>
      <c r="AN1" s="1" t="s">
        <v>272</v>
      </c>
      <c r="AO1" s="1" t="s">
        <v>273</v>
      </c>
      <c r="AP1" s="1" t="s">
        <v>274</v>
      </c>
      <c r="AQ1" s="1" t="s">
        <v>275</v>
      </c>
      <c r="AR1" s="1" t="s">
        <v>276</v>
      </c>
      <c r="AS1" s="1" t="s">
        <v>277</v>
      </c>
      <c r="AT1" s="1" t="s">
        <v>278</v>
      </c>
      <c r="AU1" s="1" t="s">
        <v>279</v>
      </c>
    </row>
    <row r="2" spans="1:47" ht="19" customHeight="1" x14ac:dyDescent="0.3">
      <c r="A2" s="57" t="s">
        <v>133</v>
      </c>
      <c r="B2" s="57"/>
      <c r="C2" s="57"/>
      <c r="D2" s="89">
        <f>持有情况!F100-ROW()*0.00001</f>
        <v>235.99997999999999</v>
      </c>
      <c r="E2" s="89">
        <v>2</v>
      </c>
      <c r="F2" s="90">
        <v>0</v>
      </c>
      <c r="G2" s="89">
        <v>1</v>
      </c>
      <c r="H2" s="90">
        <v>0</v>
      </c>
      <c r="I2" s="1"/>
      <c r="J2" s="89">
        <f>INT(60+4*路线!B27+17*路线!B15+15*路线!B31+40)-ROW()*0.00001</f>
        <v>235.99997999999999</v>
      </c>
      <c r="L2" s="1" t="str">
        <f t="shared" ref="L2:L33" si="0">IF(AND(OR(E2=1,E2=0),G2=1),D2,"")</f>
        <v/>
      </c>
      <c r="M2" s="1">
        <f t="shared" ref="M2:M33" si="1">IF(AND(OR(E2=2,E2=0),G2=1),D2,"")</f>
        <v>235.99997999999999</v>
      </c>
      <c r="N2" s="1" t="str">
        <f t="shared" ref="N2:N33" si="2">IF(AND(OR(E2=3,E2=0),G2=1),D2,"")</f>
        <v/>
      </c>
      <c r="O2" s="1" t="str">
        <f t="shared" ref="O2:O33" si="3">IF(AND(OR(E2=1,E2=0),G2=2),D2,"")</f>
        <v/>
      </c>
      <c r="P2" s="1" t="str">
        <f t="shared" ref="P2:P33" si="4">IF(AND(OR(E2=2,E2=0),G2=2),D2,"")</f>
        <v/>
      </c>
      <c r="Q2" s="1" t="str">
        <f t="shared" ref="Q2:Q33" si="5">IF(AND(OR(E2=3,E2=0),G2=2),D2,"")</f>
        <v/>
      </c>
      <c r="R2" s="1" t="str">
        <f t="shared" ref="R2:R33" si="6">IF(AND(OR(E2=1,E2=0),G2=3),D2,"")</f>
        <v/>
      </c>
      <c r="S2" s="1" t="str">
        <f t="shared" ref="S2:S33" si="7">IF(AND(OR(E2=2,E2=0),G2=3),D2,"")</f>
        <v/>
      </c>
      <c r="T2" s="1" t="str">
        <f t="shared" ref="T2:T33" si="8">IF(AND(OR(E2=3,E2=0),G2=3),D2,"")</f>
        <v/>
      </c>
      <c r="U2" s="1" t="str">
        <f t="shared" ref="U2:U33" si="9">IF(AND(OR(E2=1,E2=0),G2=1,F2=1),D2,"")</f>
        <v/>
      </c>
      <c r="V2" s="1" t="str">
        <f t="shared" ref="V2:V33" si="10">IF(AND(OR(E2=1,E2=0),G2=2,F2=1),D2,"")</f>
        <v/>
      </c>
      <c r="W2" s="1" t="str">
        <f t="shared" ref="W2:W33" si="11">IF(AND(OR(E2=1,E2=0),G2=3,F2=1),D2,"")</f>
        <v/>
      </c>
      <c r="X2" s="1" t="str">
        <f t="shared" ref="X2:X33" si="12">IF(AND(OR(E2=2,E2=0),G2=1,F2=1),D2,"")</f>
        <v/>
      </c>
      <c r="Y2" s="1" t="str">
        <f t="shared" ref="Y2:Y33" si="13">IF(AND(OR(E2=2,E2=0),G2=2,F2=1),D2,"")</f>
        <v/>
      </c>
      <c r="Z2" s="1" t="str">
        <f t="shared" ref="Z2:Z33" si="14">IF(AND(OR(E2=2,E2=0),G2=3,F2=1),D2,"")</f>
        <v/>
      </c>
      <c r="AA2" s="1" t="str">
        <f t="shared" ref="AA2:AA33" si="15">IF(AND(OR(E2=3,E2=0),G2=1,F2=1),D2,"")</f>
        <v/>
      </c>
      <c r="AB2" s="1" t="str">
        <f t="shared" ref="AB2:AB33" si="16">IF(AND(OR(E2=3,E2=0),G2=2,F2=1),D2,"")</f>
        <v/>
      </c>
      <c r="AC2" s="1" t="str">
        <f t="shared" ref="AC2:AC33" si="17">IF(AND(OR(E2=3,E2=0),G2=3,F2=1),D2,"")</f>
        <v/>
      </c>
      <c r="AD2" s="1" t="str">
        <f t="shared" ref="AD2:AD33" si="18">IF(AND(OR(E2=1,E2=0),G2=1,F2=0),J2,"")</f>
        <v/>
      </c>
      <c r="AE2" s="1" t="str">
        <f t="shared" ref="AE2:AE33" si="19">IF(AND(OR(E2=1,E2=0),G2=2,F2=0),J2,"")</f>
        <v/>
      </c>
      <c r="AF2" s="1" t="str">
        <f t="shared" ref="AF2:AF33" si="20">IF(AND(OR(E2=1,E2=0),G2=3,F2=0),J2,"")</f>
        <v/>
      </c>
      <c r="AG2" s="1" t="str">
        <f t="shared" ref="AG2:AG33" si="21">IF(AND(OR(E2=1,E2=0),G2=1,F2=1),J2,"")</f>
        <v/>
      </c>
      <c r="AH2" s="1" t="str">
        <f t="shared" ref="AH2:AH33" si="22">IF(AND(OR(E2=1,E2=0),G2=2,F2=1),J2,"")</f>
        <v/>
      </c>
      <c r="AI2" s="1" t="str">
        <f t="shared" ref="AI2:AI33" si="23">IF(AND(OR(E2=1,E2=0),G2=3,F2=1),J2,"")</f>
        <v/>
      </c>
      <c r="AJ2" s="1">
        <f t="shared" ref="AJ2:AJ33" si="24">IF(AND(OR(E2=2,E2=0),G2=1,F2=0),J2,"")</f>
        <v>235.99997999999999</v>
      </c>
      <c r="AK2" s="1" t="str">
        <f t="shared" ref="AK2:AK33" si="25">IF(AND(OR(E2=2,E2=0),G2=2,F2=0),J2,"")</f>
        <v/>
      </c>
      <c r="AL2" s="1" t="str">
        <f t="shared" ref="AL2:AL33" si="26">IF(AND(OR(E2=2,E2=0),G2=3,F2=0),J2,"")</f>
        <v/>
      </c>
      <c r="AM2" s="1" t="str">
        <f t="shared" ref="AM2:AM33" si="27">IF(AND(OR(E2=2,E2=0),G2=1,F2=1),J2,"")</f>
        <v/>
      </c>
      <c r="AN2" s="1" t="str">
        <f t="shared" ref="AN2:AN33" si="28">IF(AND(OR(E2=2,E2=0),G2=2,F2=1),J2,"")</f>
        <v/>
      </c>
      <c r="AO2" s="1" t="str">
        <f t="shared" ref="AO2:AO33" si="29">IF(AND(OR(E2=2,E2=0),G2=3,F2=1),J2,"")</f>
        <v/>
      </c>
      <c r="AP2" s="1" t="str">
        <f t="shared" ref="AP2:AP33" si="30">IF(AND(OR(E2=3,E2=0),G2=1,F2=0),J2,"")</f>
        <v/>
      </c>
      <c r="AQ2" s="1" t="str">
        <f t="shared" ref="AQ2:AQ33" si="31">IF(AND(OR(E2=3,E2=0),G2=2,F2=0),J2,"")</f>
        <v/>
      </c>
      <c r="AR2" s="1" t="str">
        <f t="shared" ref="AR2:AR33" si="32">IF(AND(OR(E2=3,E2=0),G2=3,F2=0),J2,"")</f>
        <v/>
      </c>
      <c r="AS2" s="1" t="str">
        <f t="shared" ref="AS2:AS33" si="33">IF(AND(OR(E2=3,E2=0),G2=1,F2=1),J2,"")</f>
        <v/>
      </c>
      <c r="AT2" s="1" t="str">
        <f t="shared" ref="AT2:AT33" si="34">IF(AND(OR(E2=3,E2=0),G2=2,F2=1),J2,"")</f>
        <v/>
      </c>
      <c r="AU2" s="1" t="str">
        <f t="shared" ref="AU2:AU33" si="35">IF(AND(OR(E2=3,E2=0),G2=3,F2=1),J2,"")</f>
        <v/>
      </c>
    </row>
    <row r="3" spans="1:47" ht="19" customHeight="1" x14ac:dyDescent="0.3">
      <c r="A3" s="75" t="s">
        <v>71</v>
      </c>
      <c r="B3" s="75"/>
      <c r="C3" s="75"/>
      <c r="D3" s="89">
        <f>持有情况!P46-ROW()*0.00001</f>
        <v>250.99996999999999</v>
      </c>
      <c r="E3" s="89">
        <v>2</v>
      </c>
      <c r="F3" s="90">
        <v>0</v>
      </c>
      <c r="G3" s="89">
        <v>2</v>
      </c>
      <c r="H3" s="89">
        <v>1</v>
      </c>
      <c r="I3" s="84" t="s">
        <v>280</v>
      </c>
      <c r="J3" s="89">
        <f>INT((8.5/100)*路线!B11+9*路线!B29+17*路线!B15+7*路线!B30+40)-ROW()*0.00001</f>
        <v>250.99996999999999</v>
      </c>
      <c r="L3" s="1" t="str">
        <f t="shared" si="0"/>
        <v/>
      </c>
      <c r="M3" s="1" t="str">
        <f t="shared" si="1"/>
        <v/>
      </c>
      <c r="N3" s="1" t="str">
        <f t="shared" si="2"/>
        <v/>
      </c>
      <c r="O3" s="1" t="str">
        <f t="shared" si="3"/>
        <v/>
      </c>
      <c r="P3" s="1">
        <f t="shared" si="4"/>
        <v>250.99996999999999</v>
      </c>
      <c r="Q3" s="1" t="str">
        <f t="shared" si="5"/>
        <v/>
      </c>
      <c r="R3" s="1" t="str">
        <f t="shared" si="6"/>
        <v/>
      </c>
      <c r="S3" s="1" t="str">
        <f t="shared" si="7"/>
        <v/>
      </c>
      <c r="T3" s="1" t="str">
        <f t="shared" si="8"/>
        <v/>
      </c>
      <c r="U3" s="1" t="str">
        <f t="shared" si="9"/>
        <v/>
      </c>
      <c r="V3" s="1" t="str">
        <f t="shared" si="10"/>
        <v/>
      </c>
      <c r="W3" s="1" t="str">
        <f t="shared" si="11"/>
        <v/>
      </c>
      <c r="X3" s="1" t="str">
        <f t="shared" si="12"/>
        <v/>
      </c>
      <c r="Y3" s="1" t="str">
        <f t="shared" si="13"/>
        <v/>
      </c>
      <c r="Z3" s="1" t="str">
        <f t="shared" si="14"/>
        <v/>
      </c>
      <c r="AA3" s="1" t="str">
        <f t="shared" si="15"/>
        <v/>
      </c>
      <c r="AB3" s="1" t="str">
        <f t="shared" si="16"/>
        <v/>
      </c>
      <c r="AC3" s="1" t="str">
        <f t="shared" si="17"/>
        <v/>
      </c>
      <c r="AD3" s="1" t="str">
        <f t="shared" si="18"/>
        <v/>
      </c>
      <c r="AE3" s="1" t="str">
        <f t="shared" si="19"/>
        <v/>
      </c>
      <c r="AF3" s="1" t="str">
        <f t="shared" si="20"/>
        <v/>
      </c>
      <c r="AG3" s="1" t="str">
        <f t="shared" si="21"/>
        <v/>
      </c>
      <c r="AH3" s="1" t="str">
        <f t="shared" si="22"/>
        <v/>
      </c>
      <c r="AI3" s="1" t="str">
        <f t="shared" si="23"/>
        <v/>
      </c>
      <c r="AJ3" s="1" t="str">
        <f t="shared" si="24"/>
        <v/>
      </c>
      <c r="AK3" s="1">
        <f t="shared" si="25"/>
        <v>250.99996999999999</v>
      </c>
      <c r="AL3" s="1" t="str">
        <f t="shared" si="26"/>
        <v/>
      </c>
      <c r="AM3" s="1" t="str">
        <f t="shared" si="27"/>
        <v/>
      </c>
      <c r="AN3" s="1" t="str">
        <f t="shared" si="28"/>
        <v/>
      </c>
      <c r="AO3" s="1" t="str">
        <f t="shared" si="29"/>
        <v/>
      </c>
      <c r="AP3" s="1" t="str">
        <f t="shared" si="30"/>
        <v/>
      </c>
      <c r="AQ3" s="1" t="str">
        <f t="shared" si="31"/>
        <v/>
      </c>
      <c r="AR3" s="1" t="str">
        <f t="shared" si="32"/>
        <v/>
      </c>
      <c r="AS3" s="1" t="str">
        <f t="shared" si="33"/>
        <v/>
      </c>
      <c r="AT3" s="1" t="str">
        <f t="shared" si="34"/>
        <v/>
      </c>
      <c r="AU3" s="1" t="str">
        <f t="shared" si="35"/>
        <v/>
      </c>
    </row>
    <row r="4" spans="1:47" ht="19" customHeight="1" x14ac:dyDescent="0.3">
      <c r="A4" s="75" t="s">
        <v>139</v>
      </c>
      <c r="B4" s="75"/>
      <c r="C4" s="75"/>
      <c r="D4" s="89">
        <f>持有情况!P106-ROW()*0.00001</f>
        <v>342.99995999999999</v>
      </c>
      <c r="E4" s="89">
        <v>1</v>
      </c>
      <c r="F4" s="90">
        <v>0</v>
      </c>
      <c r="G4" s="89">
        <v>2</v>
      </c>
      <c r="H4" s="89">
        <v>1</v>
      </c>
      <c r="I4" s="84" t="s">
        <v>281</v>
      </c>
      <c r="J4" s="89">
        <f>INT((8.5/100)*路线!B11+11*路线!B35+17*路线!B15+7*路线!B30+40)-ROW()*0.00001</f>
        <v>342.99995999999999</v>
      </c>
      <c r="L4" s="1" t="str">
        <f t="shared" si="0"/>
        <v/>
      </c>
      <c r="M4" s="1" t="str">
        <f t="shared" si="1"/>
        <v/>
      </c>
      <c r="N4" s="1" t="str">
        <f t="shared" si="2"/>
        <v/>
      </c>
      <c r="O4" s="1">
        <f t="shared" si="3"/>
        <v>342.99995999999999</v>
      </c>
      <c r="P4" s="1" t="str">
        <f t="shared" si="4"/>
        <v/>
      </c>
      <c r="Q4" s="1" t="str">
        <f t="shared" si="5"/>
        <v/>
      </c>
      <c r="R4" s="1" t="str">
        <f t="shared" si="6"/>
        <v/>
      </c>
      <c r="S4" s="1" t="str">
        <f t="shared" si="7"/>
        <v/>
      </c>
      <c r="T4" s="1" t="str">
        <f t="shared" si="8"/>
        <v/>
      </c>
      <c r="U4" s="1" t="str">
        <f t="shared" si="9"/>
        <v/>
      </c>
      <c r="V4" s="1" t="str">
        <f t="shared" si="10"/>
        <v/>
      </c>
      <c r="W4" s="1" t="str">
        <f t="shared" si="11"/>
        <v/>
      </c>
      <c r="X4" s="1" t="str">
        <f t="shared" si="12"/>
        <v/>
      </c>
      <c r="Y4" s="1" t="str">
        <f t="shared" si="13"/>
        <v/>
      </c>
      <c r="Z4" s="1" t="str">
        <f t="shared" si="14"/>
        <v/>
      </c>
      <c r="AA4" s="1" t="str">
        <f t="shared" si="15"/>
        <v/>
      </c>
      <c r="AB4" s="1" t="str">
        <f t="shared" si="16"/>
        <v/>
      </c>
      <c r="AC4" s="1" t="str">
        <f t="shared" si="17"/>
        <v/>
      </c>
      <c r="AD4" s="1" t="str">
        <f t="shared" si="18"/>
        <v/>
      </c>
      <c r="AE4" s="1">
        <f t="shared" si="19"/>
        <v>342.99995999999999</v>
      </c>
      <c r="AF4" s="1" t="str">
        <f t="shared" si="20"/>
        <v/>
      </c>
      <c r="AG4" s="1" t="str">
        <f t="shared" si="21"/>
        <v/>
      </c>
      <c r="AH4" s="1" t="str">
        <f t="shared" si="22"/>
        <v/>
      </c>
      <c r="AI4" s="1" t="str">
        <f t="shared" si="23"/>
        <v/>
      </c>
      <c r="AJ4" s="1" t="str">
        <f t="shared" si="24"/>
        <v/>
      </c>
      <c r="AK4" s="1" t="str">
        <f t="shared" si="25"/>
        <v/>
      </c>
      <c r="AL4" s="1" t="str">
        <f t="shared" si="26"/>
        <v/>
      </c>
      <c r="AM4" s="1" t="str">
        <f t="shared" si="27"/>
        <v/>
      </c>
      <c r="AN4" s="1" t="str">
        <f t="shared" si="28"/>
        <v/>
      </c>
      <c r="AO4" s="1" t="str">
        <f t="shared" si="29"/>
        <v/>
      </c>
      <c r="AP4" s="1" t="str">
        <f t="shared" si="30"/>
        <v/>
      </c>
      <c r="AQ4" s="1" t="str">
        <f t="shared" si="31"/>
        <v/>
      </c>
      <c r="AR4" s="1" t="str">
        <f t="shared" si="32"/>
        <v/>
      </c>
      <c r="AS4" s="1" t="str">
        <f t="shared" si="33"/>
        <v/>
      </c>
      <c r="AT4" s="1" t="str">
        <f t="shared" si="34"/>
        <v/>
      </c>
      <c r="AU4" s="1" t="str">
        <f t="shared" si="35"/>
        <v/>
      </c>
    </row>
    <row r="5" spans="1:47" ht="19" customHeight="1" x14ac:dyDescent="0.3">
      <c r="A5" s="75" t="s">
        <v>86</v>
      </c>
      <c r="B5" s="75"/>
      <c r="C5" s="75"/>
      <c r="D5" s="89">
        <f>持有情况!P58-ROW()*0.00001</f>
        <v>183.99995000000001</v>
      </c>
      <c r="E5" s="89">
        <v>2</v>
      </c>
      <c r="F5" s="90">
        <v>0</v>
      </c>
      <c r="G5" s="89">
        <v>2</v>
      </c>
      <c r="H5" s="89">
        <v>1</v>
      </c>
      <c r="I5" s="84" t="s">
        <v>282</v>
      </c>
      <c r="J5" s="89">
        <f>INT((8.5/100)*路线!B11+17*路线!B15+15*路线!B31+40)-ROW()*0.00001</f>
        <v>183.99995000000001</v>
      </c>
      <c r="L5" s="1" t="str">
        <f t="shared" si="0"/>
        <v/>
      </c>
      <c r="M5" s="1" t="str">
        <f t="shared" si="1"/>
        <v/>
      </c>
      <c r="N5" s="1" t="str">
        <f t="shared" si="2"/>
        <v/>
      </c>
      <c r="O5" s="1" t="str">
        <f t="shared" si="3"/>
        <v/>
      </c>
      <c r="P5" s="1">
        <f t="shared" si="4"/>
        <v>183.99995000000001</v>
      </c>
      <c r="Q5" s="1" t="str">
        <f t="shared" si="5"/>
        <v/>
      </c>
      <c r="R5" s="1" t="str">
        <f t="shared" si="6"/>
        <v/>
      </c>
      <c r="S5" s="1" t="str">
        <f t="shared" si="7"/>
        <v/>
      </c>
      <c r="T5" s="1" t="str">
        <f t="shared" si="8"/>
        <v/>
      </c>
      <c r="U5" s="1" t="str">
        <f t="shared" si="9"/>
        <v/>
      </c>
      <c r="V5" s="1" t="str">
        <f t="shared" si="10"/>
        <v/>
      </c>
      <c r="W5" s="1" t="str">
        <f t="shared" si="11"/>
        <v/>
      </c>
      <c r="X5" s="1" t="str">
        <f t="shared" si="12"/>
        <v/>
      </c>
      <c r="Y5" s="1" t="str">
        <f t="shared" si="13"/>
        <v/>
      </c>
      <c r="Z5" s="1" t="str">
        <f t="shared" si="14"/>
        <v/>
      </c>
      <c r="AA5" s="1" t="str">
        <f t="shared" si="15"/>
        <v/>
      </c>
      <c r="AB5" s="1" t="str">
        <f t="shared" si="16"/>
        <v/>
      </c>
      <c r="AC5" s="1" t="str">
        <f t="shared" si="17"/>
        <v/>
      </c>
      <c r="AD5" s="1" t="str">
        <f t="shared" si="18"/>
        <v/>
      </c>
      <c r="AE5" s="1" t="str">
        <f t="shared" si="19"/>
        <v/>
      </c>
      <c r="AF5" s="1" t="str">
        <f t="shared" si="20"/>
        <v/>
      </c>
      <c r="AG5" s="1" t="str">
        <f t="shared" si="21"/>
        <v/>
      </c>
      <c r="AH5" s="1" t="str">
        <f t="shared" si="22"/>
        <v/>
      </c>
      <c r="AI5" s="1" t="str">
        <f t="shared" si="23"/>
        <v/>
      </c>
      <c r="AJ5" s="1" t="str">
        <f t="shared" si="24"/>
        <v/>
      </c>
      <c r="AK5" s="1">
        <f t="shared" si="25"/>
        <v>183.99995000000001</v>
      </c>
      <c r="AL5" s="1" t="str">
        <f t="shared" si="26"/>
        <v/>
      </c>
      <c r="AM5" s="1" t="str">
        <f t="shared" si="27"/>
        <v/>
      </c>
      <c r="AN5" s="1" t="str">
        <f t="shared" si="28"/>
        <v/>
      </c>
      <c r="AO5" s="1" t="str">
        <f t="shared" si="29"/>
        <v/>
      </c>
      <c r="AP5" s="1" t="str">
        <f t="shared" si="30"/>
        <v/>
      </c>
      <c r="AQ5" s="1" t="str">
        <f t="shared" si="31"/>
        <v/>
      </c>
      <c r="AR5" s="1" t="str">
        <f t="shared" si="32"/>
        <v/>
      </c>
      <c r="AS5" s="1" t="str">
        <f t="shared" si="33"/>
        <v/>
      </c>
      <c r="AT5" s="1" t="str">
        <f t="shared" si="34"/>
        <v/>
      </c>
      <c r="AU5" s="1" t="str">
        <f t="shared" si="35"/>
        <v/>
      </c>
    </row>
    <row r="6" spans="1:47" ht="19" customHeight="1" x14ac:dyDescent="0.3">
      <c r="A6" s="75" t="s">
        <v>143</v>
      </c>
      <c r="B6" s="75"/>
      <c r="C6" s="75"/>
      <c r="D6" s="89">
        <f>IF(路线!B4="计算",持有情况!S112,持有情况!P112)-ROW()*0.00001</f>
        <v>253.99994000000001</v>
      </c>
      <c r="E6" s="90">
        <v>0</v>
      </c>
      <c r="F6" s="90">
        <v>0</v>
      </c>
      <c r="G6" s="89">
        <v>2</v>
      </c>
      <c r="H6" s="89">
        <v>1</v>
      </c>
      <c r="I6" s="1"/>
      <c r="J6" s="89">
        <f>IF(路线!B4="计算",INT(60+22+21*IF(路线!B38&lt;=3,路线!B38,3)+7*路线!B30+40+20),INT(60+22+21*IF(路线!B38&lt;=3,路线!B38,3)+7*路线!B30+40))-ROW()*0.00001</f>
        <v>253.99994000000001</v>
      </c>
      <c r="L6" s="1" t="str">
        <f t="shared" si="0"/>
        <v/>
      </c>
      <c r="M6" s="1" t="str">
        <f t="shared" si="1"/>
        <v/>
      </c>
      <c r="N6" s="1" t="str">
        <f t="shared" si="2"/>
        <v/>
      </c>
      <c r="O6" s="1">
        <f t="shared" si="3"/>
        <v>253.99994000000001</v>
      </c>
      <c r="P6" s="1">
        <f t="shared" si="4"/>
        <v>253.99994000000001</v>
      </c>
      <c r="Q6" s="1">
        <f t="shared" si="5"/>
        <v>253.99994000000001</v>
      </c>
      <c r="R6" s="1" t="str">
        <f t="shared" si="6"/>
        <v/>
      </c>
      <c r="S6" s="1" t="str">
        <f t="shared" si="7"/>
        <v/>
      </c>
      <c r="T6" s="1" t="str">
        <f t="shared" si="8"/>
        <v/>
      </c>
      <c r="U6" s="1" t="str">
        <f t="shared" si="9"/>
        <v/>
      </c>
      <c r="V6" s="1" t="str">
        <f t="shared" si="10"/>
        <v/>
      </c>
      <c r="W6" s="1" t="str">
        <f t="shared" si="11"/>
        <v/>
      </c>
      <c r="X6" s="1" t="str">
        <f t="shared" si="12"/>
        <v/>
      </c>
      <c r="Y6" s="1" t="str">
        <f t="shared" si="13"/>
        <v/>
      </c>
      <c r="Z6" s="1" t="str">
        <f t="shared" si="14"/>
        <v/>
      </c>
      <c r="AA6" s="1" t="str">
        <f t="shared" si="15"/>
        <v/>
      </c>
      <c r="AB6" s="1" t="str">
        <f t="shared" si="16"/>
        <v/>
      </c>
      <c r="AC6" s="1" t="str">
        <f t="shared" si="17"/>
        <v/>
      </c>
      <c r="AD6" s="1" t="str">
        <f t="shared" si="18"/>
        <v/>
      </c>
      <c r="AE6" s="1">
        <f t="shared" si="19"/>
        <v>253.99994000000001</v>
      </c>
      <c r="AF6" s="1" t="str">
        <f t="shared" si="20"/>
        <v/>
      </c>
      <c r="AG6" s="1" t="str">
        <f t="shared" si="21"/>
        <v/>
      </c>
      <c r="AH6" s="1" t="str">
        <f t="shared" si="22"/>
        <v/>
      </c>
      <c r="AI6" s="1" t="str">
        <f t="shared" si="23"/>
        <v/>
      </c>
      <c r="AJ6" s="1" t="str">
        <f t="shared" si="24"/>
        <v/>
      </c>
      <c r="AK6" s="1">
        <f t="shared" si="25"/>
        <v>253.99994000000001</v>
      </c>
      <c r="AL6" s="1" t="str">
        <f t="shared" si="26"/>
        <v/>
      </c>
      <c r="AM6" s="1" t="str">
        <f t="shared" si="27"/>
        <v/>
      </c>
      <c r="AN6" s="1" t="str">
        <f t="shared" si="28"/>
        <v/>
      </c>
      <c r="AO6" s="1" t="str">
        <f t="shared" si="29"/>
        <v/>
      </c>
      <c r="AP6" s="1" t="str">
        <f t="shared" si="30"/>
        <v/>
      </c>
      <c r="AQ6" s="1">
        <f t="shared" si="31"/>
        <v>253.99994000000001</v>
      </c>
      <c r="AR6" s="1" t="str">
        <f t="shared" si="32"/>
        <v/>
      </c>
      <c r="AS6" s="1" t="str">
        <f t="shared" si="33"/>
        <v/>
      </c>
      <c r="AT6" s="1" t="str">
        <f t="shared" si="34"/>
        <v/>
      </c>
      <c r="AU6" s="1" t="str">
        <f t="shared" si="35"/>
        <v/>
      </c>
    </row>
    <row r="7" spans="1:47" ht="19" customHeight="1" x14ac:dyDescent="0.3">
      <c r="A7" s="57" t="s">
        <v>91</v>
      </c>
      <c r="B7" s="57"/>
      <c r="C7" s="57"/>
      <c r="D7" s="89">
        <f>持有情况!F64-ROW()*0.00001</f>
        <v>248.99993000000001</v>
      </c>
      <c r="E7" s="90">
        <v>0</v>
      </c>
      <c r="F7" s="90">
        <v>0</v>
      </c>
      <c r="G7" s="89">
        <v>1</v>
      </c>
      <c r="H7" s="89">
        <v>1</v>
      </c>
      <c r="I7" s="84" t="s">
        <v>283</v>
      </c>
      <c r="J7" s="89">
        <f>INT((8.5/100)*路线!B11+7*路线!B30+4*(路线!B28+路线!B29)+17*路线!B15+40)-ROW()*0.00001</f>
        <v>248.99993000000001</v>
      </c>
      <c r="L7" s="1">
        <f t="shared" si="0"/>
        <v>248.99993000000001</v>
      </c>
      <c r="M7" s="1">
        <f t="shared" si="1"/>
        <v>248.99993000000001</v>
      </c>
      <c r="N7" s="1">
        <f t="shared" si="2"/>
        <v>248.99993000000001</v>
      </c>
      <c r="O7" s="1" t="str">
        <f t="shared" si="3"/>
        <v/>
      </c>
      <c r="P7" s="1" t="str">
        <f t="shared" si="4"/>
        <v/>
      </c>
      <c r="Q7" s="1" t="str">
        <f t="shared" si="5"/>
        <v/>
      </c>
      <c r="R7" s="1" t="str">
        <f t="shared" si="6"/>
        <v/>
      </c>
      <c r="S7" s="1" t="str">
        <f t="shared" si="7"/>
        <v/>
      </c>
      <c r="T7" s="1" t="str">
        <f t="shared" si="8"/>
        <v/>
      </c>
      <c r="U7" s="1" t="str">
        <f t="shared" si="9"/>
        <v/>
      </c>
      <c r="V7" s="1" t="str">
        <f t="shared" si="10"/>
        <v/>
      </c>
      <c r="W7" s="1" t="str">
        <f t="shared" si="11"/>
        <v/>
      </c>
      <c r="X7" s="1" t="str">
        <f t="shared" si="12"/>
        <v/>
      </c>
      <c r="Y7" s="1" t="str">
        <f t="shared" si="13"/>
        <v/>
      </c>
      <c r="Z7" s="1" t="str">
        <f t="shared" si="14"/>
        <v/>
      </c>
      <c r="AA7" s="1" t="str">
        <f t="shared" si="15"/>
        <v/>
      </c>
      <c r="AB7" s="1" t="str">
        <f t="shared" si="16"/>
        <v/>
      </c>
      <c r="AC7" s="1" t="str">
        <f t="shared" si="17"/>
        <v/>
      </c>
      <c r="AD7" s="1">
        <f t="shared" si="18"/>
        <v>248.99993000000001</v>
      </c>
      <c r="AE7" s="1" t="str">
        <f t="shared" si="19"/>
        <v/>
      </c>
      <c r="AF7" s="1" t="str">
        <f t="shared" si="20"/>
        <v/>
      </c>
      <c r="AG7" s="1" t="str">
        <f t="shared" si="21"/>
        <v/>
      </c>
      <c r="AH7" s="1" t="str">
        <f t="shared" si="22"/>
        <v/>
      </c>
      <c r="AI7" s="1" t="str">
        <f t="shared" si="23"/>
        <v/>
      </c>
      <c r="AJ7" s="1">
        <f t="shared" si="24"/>
        <v>248.99993000000001</v>
      </c>
      <c r="AK7" s="1" t="str">
        <f t="shared" si="25"/>
        <v/>
      </c>
      <c r="AL7" s="1" t="str">
        <f t="shared" si="26"/>
        <v/>
      </c>
      <c r="AM7" s="1" t="str">
        <f t="shared" si="27"/>
        <v/>
      </c>
      <c r="AN7" s="1" t="str">
        <f t="shared" si="28"/>
        <v/>
      </c>
      <c r="AO7" s="1" t="str">
        <f t="shared" si="29"/>
        <v/>
      </c>
      <c r="AP7" s="1">
        <f t="shared" si="30"/>
        <v>248.99993000000001</v>
      </c>
      <c r="AQ7" s="1" t="str">
        <f t="shared" si="31"/>
        <v/>
      </c>
      <c r="AR7" s="1" t="str">
        <f t="shared" si="32"/>
        <v/>
      </c>
      <c r="AS7" s="1" t="str">
        <f t="shared" si="33"/>
        <v/>
      </c>
      <c r="AT7" s="1" t="str">
        <f t="shared" si="34"/>
        <v/>
      </c>
      <c r="AU7" s="1" t="str">
        <f t="shared" si="35"/>
        <v/>
      </c>
    </row>
    <row r="8" spans="1:47" ht="19" customHeight="1" x14ac:dyDescent="0.3">
      <c r="A8" s="67" t="s">
        <v>108</v>
      </c>
      <c r="B8" s="67"/>
      <c r="C8" s="67"/>
      <c r="D8" s="89">
        <f>持有情况!Z76-ROW()*0.00001</f>
        <v>268.99991999999997</v>
      </c>
      <c r="E8" s="90">
        <v>0</v>
      </c>
      <c r="F8" s="90">
        <v>0</v>
      </c>
      <c r="G8" s="89">
        <v>3</v>
      </c>
      <c r="H8" s="89">
        <v>1</v>
      </c>
      <c r="I8" s="84" t="s">
        <v>284</v>
      </c>
      <c r="J8" s="89">
        <f>IF(路线!C6="计算",INT((8.5/100)*路线!B11+7*路线!B30+4*(路线!B28+路线!B29)+17*路线!B15+40+20)-ROW()*0.00001,INT((8.5/100)*路线!B11+7*路线!B30+4*(路线!B28+路线!B29)+17*路线!B15+40)-ROW()*0.00001)</f>
        <v>268.99991999999997</v>
      </c>
      <c r="L8" s="1" t="str">
        <f t="shared" si="0"/>
        <v/>
      </c>
      <c r="M8" s="1" t="str">
        <f t="shared" si="1"/>
        <v/>
      </c>
      <c r="N8" s="1" t="str">
        <f t="shared" si="2"/>
        <v/>
      </c>
      <c r="O8" s="1" t="str">
        <f t="shared" si="3"/>
        <v/>
      </c>
      <c r="P8" s="1" t="str">
        <f t="shared" si="4"/>
        <v/>
      </c>
      <c r="Q8" s="1" t="str">
        <f t="shared" si="5"/>
        <v/>
      </c>
      <c r="R8" s="1">
        <f t="shared" si="6"/>
        <v>268.99991999999997</v>
      </c>
      <c r="S8" s="1">
        <f t="shared" si="7"/>
        <v>268.99991999999997</v>
      </c>
      <c r="T8" s="1">
        <f t="shared" si="8"/>
        <v>268.99991999999997</v>
      </c>
      <c r="U8" s="1" t="str">
        <f t="shared" si="9"/>
        <v/>
      </c>
      <c r="V8" s="1" t="str">
        <f t="shared" si="10"/>
        <v/>
      </c>
      <c r="W8" s="1" t="str">
        <f t="shared" si="11"/>
        <v/>
      </c>
      <c r="X8" s="1" t="str">
        <f t="shared" si="12"/>
        <v/>
      </c>
      <c r="Y8" s="1" t="str">
        <f t="shared" si="13"/>
        <v/>
      </c>
      <c r="Z8" s="1" t="str">
        <f t="shared" si="14"/>
        <v/>
      </c>
      <c r="AA8" s="1" t="str">
        <f t="shared" si="15"/>
        <v/>
      </c>
      <c r="AB8" s="1" t="str">
        <f t="shared" si="16"/>
        <v/>
      </c>
      <c r="AC8" s="1" t="str">
        <f t="shared" si="17"/>
        <v/>
      </c>
      <c r="AD8" s="1" t="str">
        <f t="shared" si="18"/>
        <v/>
      </c>
      <c r="AE8" s="1" t="str">
        <f t="shared" si="19"/>
        <v/>
      </c>
      <c r="AF8" s="1">
        <f t="shared" si="20"/>
        <v>268.99991999999997</v>
      </c>
      <c r="AG8" s="1" t="str">
        <f t="shared" si="21"/>
        <v/>
      </c>
      <c r="AH8" s="1" t="str">
        <f t="shared" si="22"/>
        <v/>
      </c>
      <c r="AI8" s="1" t="str">
        <f t="shared" si="23"/>
        <v/>
      </c>
      <c r="AJ8" s="1" t="str">
        <f t="shared" si="24"/>
        <v/>
      </c>
      <c r="AK8" s="1" t="str">
        <f t="shared" si="25"/>
        <v/>
      </c>
      <c r="AL8" s="1">
        <f t="shared" si="26"/>
        <v>268.99991999999997</v>
      </c>
      <c r="AM8" s="1" t="str">
        <f t="shared" si="27"/>
        <v/>
      </c>
      <c r="AN8" s="1" t="str">
        <f t="shared" si="28"/>
        <v/>
      </c>
      <c r="AO8" s="1" t="str">
        <f t="shared" si="29"/>
        <v/>
      </c>
      <c r="AP8" s="1" t="str">
        <f t="shared" si="30"/>
        <v/>
      </c>
      <c r="AQ8" s="1" t="str">
        <f t="shared" si="31"/>
        <v/>
      </c>
      <c r="AR8" s="1">
        <f t="shared" si="32"/>
        <v>268.99991999999997</v>
      </c>
      <c r="AS8" s="1" t="str">
        <f t="shared" si="33"/>
        <v/>
      </c>
      <c r="AT8" s="1" t="str">
        <f t="shared" si="34"/>
        <v/>
      </c>
      <c r="AU8" s="1" t="str">
        <f t="shared" si="35"/>
        <v/>
      </c>
    </row>
    <row r="9" spans="1:47" ht="19" customHeight="1" x14ac:dyDescent="0.3">
      <c r="A9" s="67" t="s">
        <v>140</v>
      </c>
      <c r="B9" s="67"/>
      <c r="C9" s="67"/>
      <c r="D9" s="89">
        <f>持有情况!Z106-ROW()*0.00001</f>
        <v>253.99991</v>
      </c>
      <c r="E9" s="89">
        <v>3</v>
      </c>
      <c r="F9" s="89">
        <v>1</v>
      </c>
      <c r="G9" s="89">
        <v>3</v>
      </c>
      <c r="H9" s="89">
        <v>1</v>
      </c>
      <c r="I9" s="84" t="s">
        <v>285</v>
      </c>
      <c r="J9" s="89">
        <f>IF(路线!C6="计算",INT(60+17*路线!B15+22*IF(路线!B36&lt;=3,路线!B36,3)+40+20)-ROW()*0.00001,INT(60+17*路线!B15+22*IF(路线!B36&lt;=3,路线!B36,3)+40)-ROW()*0.00001)</f>
        <v>253.99991</v>
      </c>
      <c r="L9" s="1" t="str">
        <f t="shared" si="0"/>
        <v/>
      </c>
      <c r="M9" s="1" t="str">
        <f t="shared" si="1"/>
        <v/>
      </c>
      <c r="N9" s="1" t="str">
        <f t="shared" si="2"/>
        <v/>
      </c>
      <c r="O9" s="1" t="str">
        <f t="shared" si="3"/>
        <v/>
      </c>
      <c r="P9" s="1" t="str">
        <f t="shared" si="4"/>
        <v/>
      </c>
      <c r="Q9" s="1" t="str">
        <f t="shared" si="5"/>
        <v/>
      </c>
      <c r="R9" s="1" t="str">
        <f t="shared" si="6"/>
        <v/>
      </c>
      <c r="S9" s="1" t="str">
        <f t="shared" si="7"/>
        <v/>
      </c>
      <c r="T9" s="1">
        <f t="shared" si="8"/>
        <v>253.99991</v>
      </c>
      <c r="U9" s="1" t="str">
        <f t="shared" si="9"/>
        <v/>
      </c>
      <c r="V9" s="1" t="str">
        <f t="shared" si="10"/>
        <v/>
      </c>
      <c r="W9" s="1" t="str">
        <f t="shared" si="11"/>
        <v/>
      </c>
      <c r="X9" s="1" t="str">
        <f t="shared" si="12"/>
        <v/>
      </c>
      <c r="Y9" s="1" t="str">
        <f t="shared" si="13"/>
        <v/>
      </c>
      <c r="Z9" s="1" t="str">
        <f t="shared" si="14"/>
        <v/>
      </c>
      <c r="AA9" s="1" t="str">
        <f t="shared" si="15"/>
        <v/>
      </c>
      <c r="AB9" s="1" t="str">
        <f t="shared" si="16"/>
        <v/>
      </c>
      <c r="AC9" s="1">
        <f t="shared" si="17"/>
        <v>253.99991</v>
      </c>
      <c r="AD9" s="1" t="str">
        <f t="shared" si="18"/>
        <v/>
      </c>
      <c r="AE9" s="1" t="str">
        <f t="shared" si="19"/>
        <v/>
      </c>
      <c r="AF9" s="1" t="str">
        <f t="shared" si="20"/>
        <v/>
      </c>
      <c r="AG9" s="1" t="str">
        <f t="shared" si="21"/>
        <v/>
      </c>
      <c r="AH9" s="1" t="str">
        <f t="shared" si="22"/>
        <v/>
      </c>
      <c r="AI9" s="1" t="str">
        <f t="shared" si="23"/>
        <v/>
      </c>
      <c r="AJ9" s="1" t="str">
        <f t="shared" si="24"/>
        <v/>
      </c>
      <c r="AK9" s="1" t="str">
        <f t="shared" si="25"/>
        <v/>
      </c>
      <c r="AL9" s="1" t="str">
        <f t="shared" si="26"/>
        <v/>
      </c>
      <c r="AM9" s="1" t="str">
        <f t="shared" si="27"/>
        <v/>
      </c>
      <c r="AN9" s="1" t="str">
        <f t="shared" si="28"/>
        <v/>
      </c>
      <c r="AO9" s="1" t="str">
        <f t="shared" si="29"/>
        <v/>
      </c>
      <c r="AP9" s="1" t="str">
        <f t="shared" si="30"/>
        <v/>
      </c>
      <c r="AQ9" s="1" t="str">
        <f t="shared" si="31"/>
        <v/>
      </c>
      <c r="AR9" s="1" t="str">
        <f t="shared" si="32"/>
        <v/>
      </c>
      <c r="AS9" s="1" t="str">
        <f t="shared" si="33"/>
        <v/>
      </c>
      <c r="AT9" s="1" t="str">
        <f t="shared" si="34"/>
        <v/>
      </c>
      <c r="AU9" s="1">
        <f t="shared" si="35"/>
        <v>253.99991</v>
      </c>
    </row>
    <row r="10" spans="1:47" ht="19" customHeight="1" x14ac:dyDescent="0.3">
      <c r="A10" s="70" t="s">
        <v>106</v>
      </c>
      <c r="B10" s="57"/>
      <c r="C10" s="57"/>
      <c r="D10" s="89">
        <f>持有情况!F76-ROW()*0.00001</f>
        <v>252.9999</v>
      </c>
      <c r="E10" s="89">
        <v>1</v>
      </c>
      <c r="F10" s="89">
        <v>1</v>
      </c>
      <c r="G10" s="89">
        <v>1</v>
      </c>
      <c r="H10" s="89">
        <v>1</v>
      </c>
      <c r="I10" s="84" t="s">
        <v>286</v>
      </c>
      <c r="J10" s="89">
        <f>IF(路线!C6="计算",INT((8.5/100)*路线!B11+17*路线!B15+7*路线!B30+40+20)-ROW()*0.00001,INT((8.5/100)*路线!B11+17*路线!B15+7*路线!B30+40)-ROW()*0.00001)</f>
        <v>252.9999</v>
      </c>
      <c r="L10" s="1">
        <f t="shared" si="0"/>
        <v>252.9999</v>
      </c>
      <c r="M10" s="1" t="str">
        <f t="shared" si="1"/>
        <v/>
      </c>
      <c r="N10" s="1" t="str">
        <f t="shared" si="2"/>
        <v/>
      </c>
      <c r="O10" s="1" t="str">
        <f t="shared" si="3"/>
        <v/>
      </c>
      <c r="P10" s="1" t="str">
        <f t="shared" si="4"/>
        <v/>
      </c>
      <c r="Q10" s="1" t="str">
        <f t="shared" si="5"/>
        <v/>
      </c>
      <c r="R10" s="1" t="str">
        <f t="shared" si="6"/>
        <v/>
      </c>
      <c r="S10" s="1" t="str">
        <f t="shared" si="7"/>
        <v/>
      </c>
      <c r="T10" s="1" t="str">
        <f t="shared" si="8"/>
        <v/>
      </c>
      <c r="U10" s="1">
        <f t="shared" si="9"/>
        <v>252.9999</v>
      </c>
      <c r="V10" s="1" t="str">
        <f t="shared" si="10"/>
        <v/>
      </c>
      <c r="W10" s="1" t="str">
        <f t="shared" si="11"/>
        <v/>
      </c>
      <c r="X10" s="1" t="str">
        <f t="shared" si="12"/>
        <v/>
      </c>
      <c r="Y10" s="1" t="str">
        <f t="shared" si="13"/>
        <v/>
      </c>
      <c r="Z10" s="1" t="str">
        <f t="shared" si="14"/>
        <v/>
      </c>
      <c r="AA10" s="1" t="str">
        <f t="shared" si="15"/>
        <v/>
      </c>
      <c r="AB10" s="1" t="str">
        <f t="shared" si="16"/>
        <v/>
      </c>
      <c r="AC10" s="1" t="str">
        <f t="shared" si="17"/>
        <v/>
      </c>
      <c r="AD10" s="1" t="str">
        <f t="shared" si="18"/>
        <v/>
      </c>
      <c r="AE10" s="1" t="str">
        <f t="shared" si="19"/>
        <v/>
      </c>
      <c r="AF10" s="1" t="str">
        <f t="shared" si="20"/>
        <v/>
      </c>
      <c r="AG10" s="1">
        <f t="shared" si="21"/>
        <v>252.9999</v>
      </c>
      <c r="AH10" s="1" t="str">
        <f t="shared" si="22"/>
        <v/>
      </c>
      <c r="AI10" s="1" t="str">
        <f t="shared" si="23"/>
        <v/>
      </c>
      <c r="AJ10" s="1" t="str">
        <f t="shared" si="24"/>
        <v/>
      </c>
      <c r="AK10" s="1" t="str">
        <f t="shared" si="25"/>
        <v/>
      </c>
      <c r="AL10" s="1" t="str">
        <f t="shared" si="26"/>
        <v/>
      </c>
      <c r="AM10" s="1" t="str">
        <f t="shared" si="27"/>
        <v/>
      </c>
      <c r="AN10" s="1" t="str">
        <f t="shared" si="28"/>
        <v/>
      </c>
      <c r="AO10" s="1" t="str">
        <f t="shared" si="29"/>
        <v/>
      </c>
      <c r="AP10" s="1" t="str">
        <f t="shared" si="30"/>
        <v/>
      </c>
      <c r="AQ10" s="1" t="str">
        <f t="shared" si="31"/>
        <v/>
      </c>
      <c r="AR10" s="1" t="str">
        <f t="shared" si="32"/>
        <v/>
      </c>
      <c r="AS10" s="1" t="str">
        <f t="shared" si="33"/>
        <v/>
      </c>
      <c r="AT10" s="1" t="str">
        <f t="shared" si="34"/>
        <v/>
      </c>
      <c r="AU10" s="1" t="str">
        <f t="shared" si="35"/>
        <v/>
      </c>
    </row>
    <row r="11" spans="1:47" ht="19" customHeight="1" x14ac:dyDescent="0.3">
      <c r="A11" s="75" t="s">
        <v>121</v>
      </c>
      <c r="B11" s="75"/>
      <c r="C11" s="75"/>
      <c r="D11" s="89">
        <f>持有情况!P88-ROW()*0.00001</f>
        <v>232.99988999999999</v>
      </c>
      <c r="E11" s="90">
        <v>0</v>
      </c>
      <c r="F11" s="90">
        <v>0</v>
      </c>
      <c r="G11" s="89">
        <v>2</v>
      </c>
      <c r="H11" s="90">
        <v>0</v>
      </c>
      <c r="I11" s="1"/>
      <c r="J11" s="89">
        <f>INT((8.5/100)*路线!B11+17*路线!B15+7*路线!B30+40)-ROW()*0.00001</f>
        <v>232.99988999999999</v>
      </c>
      <c r="L11" s="1" t="str">
        <f t="shared" si="0"/>
        <v/>
      </c>
      <c r="M11" s="1" t="str">
        <f t="shared" si="1"/>
        <v/>
      </c>
      <c r="N11" s="1" t="str">
        <f t="shared" si="2"/>
        <v/>
      </c>
      <c r="O11" s="1">
        <f t="shared" si="3"/>
        <v>232.99988999999999</v>
      </c>
      <c r="P11" s="1">
        <f t="shared" si="4"/>
        <v>232.99988999999999</v>
      </c>
      <c r="Q11" s="1">
        <f t="shared" si="5"/>
        <v>232.99988999999999</v>
      </c>
      <c r="R11" s="1" t="str">
        <f t="shared" si="6"/>
        <v/>
      </c>
      <c r="S11" s="1" t="str">
        <f t="shared" si="7"/>
        <v/>
      </c>
      <c r="T11" s="1" t="str">
        <f t="shared" si="8"/>
        <v/>
      </c>
      <c r="U11" s="1" t="str">
        <f t="shared" si="9"/>
        <v/>
      </c>
      <c r="V11" s="1" t="str">
        <f t="shared" si="10"/>
        <v/>
      </c>
      <c r="W11" s="1" t="str">
        <f t="shared" si="11"/>
        <v/>
      </c>
      <c r="X11" s="1" t="str">
        <f t="shared" si="12"/>
        <v/>
      </c>
      <c r="Y11" s="1" t="str">
        <f t="shared" si="13"/>
        <v/>
      </c>
      <c r="Z11" s="1" t="str">
        <f t="shared" si="14"/>
        <v/>
      </c>
      <c r="AA11" s="1" t="str">
        <f t="shared" si="15"/>
        <v/>
      </c>
      <c r="AB11" s="1" t="str">
        <f t="shared" si="16"/>
        <v/>
      </c>
      <c r="AC11" s="1" t="str">
        <f t="shared" si="17"/>
        <v/>
      </c>
      <c r="AD11" s="1" t="str">
        <f t="shared" si="18"/>
        <v/>
      </c>
      <c r="AE11" s="1">
        <f t="shared" si="19"/>
        <v>232.99988999999999</v>
      </c>
      <c r="AF11" s="1" t="str">
        <f t="shared" si="20"/>
        <v/>
      </c>
      <c r="AG11" s="1" t="str">
        <f t="shared" si="21"/>
        <v/>
      </c>
      <c r="AH11" s="1" t="str">
        <f t="shared" si="22"/>
        <v/>
      </c>
      <c r="AI11" s="1" t="str">
        <f t="shared" si="23"/>
        <v/>
      </c>
      <c r="AJ11" s="1" t="str">
        <f t="shared" si="24"/>
        <v/>
      </c>
      <c r="AK11" s="1">
        <f t="shared" si="25"/>
        <v>232.99988999999999</v>
      </c>
      <c r="AL11" s="1" t="str">
        <f t="shared" si="26"/>
        <v/>
      </c>
      <c r="AM11" s="1" t="str">
        <f t="shared" si="27"/>
        <v/>
      </c>
      <c r="AN11" s="1" t="str">
        <f t="shared" si="28"/>
        <v/>
      </c>
      <c r="AO11" s="1" t="str">
        <f t="shared" si="29"/>
        <v/>
      </c>
      <c r="AP11" s="1" t="str">
        <f t="shared" si="30"/>
        <v/>
      </c>
      <c r="AQ11" s="1">
        <f t="shared" si="31"/>
        <v>232.99988999999999</v>
      </c>
      <c r="AR11" s="1" t="str">
        <f t="shared" si="32"/>
        <v/>
      </c>
      <c r="AS11" s="1" t="str">
        <f t="shared" si="33"/>
        <v/>
      </c>
      <c r="AT11" s="1" t="str">
        <f t="shared" si="34"/>
        <v/>
      </c>
      <c r="AU11" s="1" t="str">
        <f t="shared" si="35"/>
        <v/>
      </c>
    </row>
    <row r="12" spans="1:47" ht="19" customHeight="1" x14ac:dyDescent="0.3">
      <c r="A12" s="67" t="s">
        <v>100</v>
      </c>
      <c r="B12" s="67"/>
      <c r="C12" s="67"/>
      <c r="D12" s="89">
        <f>持有情况!Z70-ROW()*0.00001</f>
        <v>133.99987999999999</v>
      </c>
      <c r="E12" s="89">
        <v>2</v>
      </c>
      <c r="F12" s="90">
        <v>0</v>
      </c>
      <c r="G12" s="89">
        <v>3</v>
      </c>
      <c r="H12" s="90">
        <v>0</v>
      </c>
      <c r="I12" s="1"/>
      <c r="J12" s="89">
        <f>INT((8.5/100)*路线!B11+9*路线!B29+15*路线!B31+40)-ROW()*0.00001</f>
        <v>133.99987999999999</v>
      </c>
      <c r="L12" s="1" t="str">
        <f t="shared" si="0"/>
        <v/>
      </c>
      <c r="M12" s="1" t="str">
        <f t="shared" si="1"/>
        <v/>
      </c>
      <c r="N12" s="1" t="str">
        <f t="shared" si="2"/>
        <v/>
      </c>
      <c r="O12" s="1" t="str">
        <f t="shared" si="3"/>
        <v/>
      </c>
      <c r="P12" s="1" t="str">
        <f t="shared" si="4"/>
        <v/>
      </c>
      <c r="Q12" s="1" t="str">
        <f t="shared" si="5"/>
        <v/>
      </c>
      <c r="R12" s="1" t="str">
        <f t="shared" si="6"/>
        <v/>
      </c>
      <c r="S12" s="1">
        <f t="shared" si="7"/>
        <v>133.99987999999999</v>
      </c>
      <c r="T12" s="1" t="str">
        <f t="shared" si="8"/>
        <v/>
      </c>
      <c r="U12" s="1" t="str">
        <f t="shared" si="9"/>
        <v/>
      </c>
      <c r="V12" s="1" t="str">
        <f t="shared" si="10"/>
        <v/>
      </c>
      <c r="W12" s="1" t="str">
        <f t="shared" si="11"/>
        <v/>
      </c>
      <c r="X12" s="1" t="str">
        <f t="shared" si="12"/>
        <v/>
      </c>
      <c r="Y12" s="1" t="str">
        <f t="shared" si="13"/>
        <v/>
      </c>
      <c r="Z12" s="1" t="str">
        <f t="shared" si="14"/>
        <v/>
      </c>
      <c r="AA12" s="1" t="str">
        <f t="shared" si="15"/>
        <v/>
      </c>
      <c r="AB12" s="1" t="str">
        <f t="shared" si="16"/>
        <v/>
      </c>
      <c r="AC12" s="1" t="str">
        <f t="shared" si="17"/>
        <v/>
      </c>
      <c r="AD12" s="1" t="str">
        <f t="shared" si="18"/>
        <v/>
      </c>
      <c r="AE12" s="1" t="str">
        <f t="shared" si="19"/>
        <v/>
      </c>
      <c r="AF12" s="1" t="str">
        <f t="shared" si="20"/>
        <v/>
      </c>
      <c r="AG12" s="1" t="str">
        <f t="shared" si="21"/>
        <v/>
      </c>
      <c r="AH12" s="1" t="str">
        <f t="shared" si="22"/>
        <v/>
      </c>
      <c r="AI12" s="1" t="str">
        <f t="shared" si="23"/>
        <v/>
      </c>
      <c r="AJ12" s="1" t="str">
        <f t="shared" si="24"/>
        <v/>
      </c>
      <c r="AK12" s="1" t="str">
        <f t="shared" si="25"/>
        <v/>
      </c>
      <c r="AL12" s="1">
        <f t="shared" si="26"/>
        <v>133.99987999999999</v>
      </c>
      <c r="AM12" s="1" t="str">
        <f t="shared" si="27"/>
        <v/>
      </c>
      <c r="AN12" s="1" t="str">
        <f t="shared" si="28"/>
        <v/>
      </c>
      <c r="AO12" s="1" t="str">
        <f t="shared" si="29"/>
        <v/>
      </c>
      <c r="AP12" s="1" t="str">
        <f t="shared" si="30"/>
        <v/>
      </c>
      <c r="AQ12" s="1" t="str">
        <f t="shared" si="31"/>
        <v/>
      </c>
      <c r="AR12" s="1" t="str">
        <f t="shared" si="32"/>
        <v/>
      </c>
      <c r="AS12" s="1" t="str">
        <f t="shared" si="33"/>
        <v/>
      </c>
      <c r="AT12" s="1" t="str">
        <f t="shared" si="34"/>
        <v/>
      </c>
      <c r="AU12" s="1" t="str">
        <f t="shared" si="35"/>
        <v/>
      </c>
    </row>
    <row r="13" spans="1:47" ht="19" customHeight="1" x14ac:dyDescent="0.3">
      <c r="A13" s="67" t="s">
        <v>127</v>
      </c>
      <c r="B13" s="67"/>
      <c r="C13" s="67"/>
      <c r="D13" s="89">
        <f>持有情况!Z94-ROW()*0.00001</f>
        <v>331.99986999999999</v>
      </c>
      <c r="E13" s="89">
        <v>3</v>
      </c>
      <c r="F13" s="90">
        <v>0</v>
      </c>
      <c r="G13" s="89">
        <v>3</v>
      </c>
      <c r="H13" s="89">
        <v>1</v>
      </c>
      <c r="I13" s="84" t="s">
        <v>287</v>
      </c>
      <c r="J13" s="89">
        <f>IF(路线!C6="计算",INT((8.5/100)*路线!B11+11*路线!B35+9*路线!B28+17*路线!B15+40+20)-ROW()*0.00001,INT((8.5/100)*路线!B11+11*路线!B35+9*路线!B28+17*路线!B15+40)-ROW()*0.00001)</f>
        <v>331.99986999999999</v>
      </c>
      <c r="L13" s="1" t="str">
        <f t="shared" si="0"/>
        <v/>
      </c>
      <c r="M13" s="1" t="str">
        <f t="shared" si="1"/>
        <v/>
      </c>
      <c r="N13" s="1" t="str">
        <f t="shared" si="2"/>
        <v/>
      </c>
      <c r="O13" s="1" t="str">
        <f t="shared" si="3"/>
        <v/>
      </c>
      <c r="P13" s="1" t="str">
        <f t="shared" si="4"/>
        <v/>
      </c>
      <c r="Q13" s="1" t="str">
        <f t="shared" si="5"/>
        <v/>
      </c>
      <c r="R13" s="1" t="str">
        <f t="shared" si="6"/>
        <v/>
      </c>
      <c r="S13" s="1" t="str">
        <f t="shared" si="7"/>
        <v/>
      </c>
      <c r="T13" s="1">
        <f t="shared" si="8"/>
        <v>331.99986999999999</v>
      </c>
      <c r="U13" s="1" t="str">
        <f t="shared" si="9"/>
        <v/>
      </c>
      <c r="V13" s="1" t="str">
        <f t="shared" si="10"/>
        <v/>
      </c>
      <c r="W13" s="1" t="str">
        <f t="shared" si="11"/>
        <v/>
      </c>
      <c r="X13" s="1" t="str">
        <f t="shared" si="12"/>
        <v/>
      </c>
      <c r="Y13" s="1" t="str">
        <f t="shared" si="13"/>
        <v/>
      </c>
      <c r="Z13" s="1" t="str">
        <f t="shared" si="14"/>
        <v/>
      </c>
      <c r="AA13" s="1" t="str">
        <f t="shared" si="15"/>
        <v/>
      </c>
      <c r="AB13" s="1" t="str">
        <f t="shared" si="16"/>
        <v/>
      </c>
      <c r="AC13" s="1" t="str">
        <f t="shared" si="17"/>
        <v/>
      </c>
      <c r="AD13" s="1" t="str">
        <f t="shared" si="18"/>
        <v/>
      </c>
      <c r="AE13" s="1" t="str">
        <f t="shared" si="19"/>
        <v/>
      </c>
      <c r="AF13" s="1" t="str">
        <f t="shared" si="20"/>
        <v/>
      </c>
      <c r="AG13" s="1" t="str">
        <f t="shared" si="21"/>
        <v/>
      </c>
      <c r="AH13" s="1" t="str">
        <f t="shared" si="22"/>
        <v/>
      </c>
      <c r="AI13" s="1" t="str">
        <f t="shared" si="23"/>
        <v/>
      </c>
      <c r="AJ13" s="1" t="str">
        <f t="shared" si="24"/>
        <v/>
      </c>
      <c r="AK13" s="1" t="str">
        <f t="shared" si="25"/>
        <v/>
      </c>
      <c r="AL13" s="1" t="str">
        <f t="shared" si="26"/>
        <v/>
      </c>
      <c r="AM13" s="1" t="str">
        <f t="shared" si="27"/>
        <v/>
      </c>
      <c r="AN13" s="1" t="str">
        <f t="shared" si="28"/>
        <v/>
      </c>
      <c r="AO13" s="1" t="str">
        <f t="shared" si="29"/>
        <v/>
      </c>
      <c r="AP13" s="1" t="str">
        <f t="shared" si="30"/>
        <v/>
      </c>
      <c r="AQ13" s="1" t="str">
        <f t="shared" si="31"/>
        <v/>
      </c>
      <c r="AR13" s="1">
        <f t="shared" si="32"/>
        <v>331.99986999999999</v>
      </c>
      <c r="AS13" s="1" t="str">
        <f t="shared" si="33"/>
        <v/>
      </c>
      <c r="AT13" s="1" t="str">
        <f t="shared" si="34"/>
        <v/>
      </c>
      <c r="AU13" s="1" t="str">
        <f t="shared" si="35"/>
        <v/>
      </c>
    </row>
    <row r="14" spans="1:47" ht="19" customHeight="1" x14ac:dyDescent="0.3">
      <c r="A14" s="57" t="s">
        <v>115</v>
      </c>
      <c r="B14" s="57"/>
      <c r="C14" s="57"/>
      <c r="D14" s="89">
        <f>IF(路线!B4="计算",持有情况!AM82,持有情况!AJ82)-ROW()*0.00001</f>
        <v>181.99986000000001</v>
      </c>
      <c r="E14" s="90">
        <v>0</v>
      </c>
      <c r="F14" s="90">
        <v>0</v>
      </c>
      <c r="G14" s="89">
        <v>1</v>
      </c>
      <c r="H14" s="90">
        <v>0</v>
      </c>
      <c r="I14" s="1"/>
      <c r="J14" s="89">
        <f>IF(路线!B4="计算",INT(45+10*路线!B31+5*路线!B30+3*(路线!B28+路线!B29)+30+持有情况!AM81),INT(45+10*路线!B31+5*路线!B30+3*(路线!B28+路线!B29)+30))-ROW()*0.00001</f>
        <v>181.99986000000001</v>
      </c>
      <c r="L14" s="1">
        <f t="shared" si="0"/>
        <v>181.99986000000001</v>
      </c>
      <c r="M14" s="1">
        <f t="shared" si="1"/>
        <v>181.99986000000001</v>
      </c>
      <c r="N14" s="1">
        <f t="shared" si="2"/>
        <v>181.99986000000001</v>
      </c>
      <c r="O14" s="1" t="str">
        <f t="shared" si="3"/>
        <v/>
      </c>
      <c r="P14" s="1" t="str">
        <f t="shared" si="4"/>
        <v/>
      </c>
      <c r="Q14" s="1" t="str">
        <f t="shared" si="5"/>
        <v/>
      </c>
      <c r="R14" s="1" t="str">
        <f t="shared" si="6"/>
        <v/>
      </c>
      <c r="S14" s="1" t="str">
        <f t="shared" si="7"/>
        <v/>
      </c>
      <c r="T14" s="1" t="str">
        <f t="shared" si="8"/>
        <v/>
      </c>
      <c r="U14" s="1" t="str">
        <f t="shared" si="9"/>
        <v/>
      </c>
      <c r="V14" s="1" t="str">
        <f t="shared" si="10"/>
        <v/>
      </c>
      <c r="W14" s="1" t="str">
        <f t="shared" si="11"/>
        <v/>
      </c>
      <c r="X14" s="1" t="str">
        <f t="shared" si="12"/>
        <v/>
      </c>
      <c r="Y14" s="1" t="str">
        <f t="shared" si="13"/>
        <v/>
      </c>
      <c r="Z14" s="1" t="str">
        <f t="shared" si="14"/>
        <v/>
      </c>
      <c r="AA14" s="1" t="str">
        <f t="shared" si="15"/>
        <v/>
      </c>
      <c r="AB14" s="1" t="str">
        <f t="shared" si="16"/>
        <v/>
      </c>
      <c r="AC14" s="1" t="str">
        <f t="shared" si="17"/>
        <v/>
      </c>
      <c r="AD14" s="1">
        <f t="shared" si="18"/>
        <v>181.99986000000001</v>
      </c>
      <c r="AE14" s="1" t="str">
        <f t="shared" si="19"/>
        <v/>
      </c>
      <c r="AF14" s="1" t="str">
        <f t="shared" si="20"/>
        <v/>
      </c>
      <c r="AG14" s="1" t="str">
        <f t="shared" si="21"/>
        <v/>
      </c>
      <c r="AH14" s="1" t="str">
        <f t="shared" si="22"/>
        <v/>
      </c>
      <c r="AI14" s="1" t="str">
        <f t="shared" si="23"/>
        <v/>
      </c>
      <c r="AJ14" s="1">
        <f t="shared" si="24"/>
        <v>181.99986000000001</v>
      </c>
      <c r="AK14" s="1" t="str">
        <f t="shared" si="25"/>
        <v/>
      </c>
      <c r="AL14" s="1" t="str">
        <f t="shared" si="26"/>
        <v/>
      </c>
      <c r="AM14" s="1" t="str">
        <f t="shared" si="27"/>
        <v/>
      </c>
      <c r="AN14" s="1" t="str">
        <f t="shared" si="28"/>
        <v/>
      </c>
      <c r="AO14" s="1" t="str">
        <f t="shared" si="29"/>
        <v/>
      </c>
      <c r="AP14" s="1">
        <f t="shared" si="30"/>
        <v>181.99986000000001</v>
      </c>
      <c r="AQ14" s="1" t="str">
        <f t="shared" si="31"/>
        <v/>
      </c>
      <c r="AR14" s="1" t="str">
        <f t="shared" si="32"/>
        <v/>
      </c>
      <c r="AS14" s="1" t="str">
        <f t="shared" si="33"/>
        <v/>
      </c>
      <c r="AT14" s="1" t="str">
        <f t="shared" si="34"/>
        <v/>
      </c>
      <c r="AU14" s="1" t="str">
        <f t="shared" si="35"/>
        <v/>
      </c>
    </row>
    <row r="15" spans="1:47" ht="19" customHeight="1" x14ac:dyDescent="0.3">
      <c r="A15" s="57" t="s">
        <v>63</v>
      </c>
      <c r="B15" s="57"/>
      <c r="C15" s="57"/>
      <c r="D15" s="89">
        <f>持有情况!F40-ROW()*0.00001</f>
        <v>221.99985000000001</v>
      </c>
      <c r="E15" s="90">
        <v>0</v>
      </c>
      <c r="F15" s="90">
        <v>0</v>
      </c>
      <c r="G15" s="89">
        <v>1</v>
      </c>
      <c r="H15" s="89">
        <v>1</v>
      </c>
      <c r="I15" s="84" t="s">
        <v>288</v>
      </c>
      <c r="J15" s="89">
        <f>IF(路线!C6="计算",INT((8.5/100)*路线!B11+17*路线!B15+9*路线!B29+40+20)-ROW()*0.00001,INT((8.5/100)*路线!B11+17*路线!B15+9*路线!B29+40)-ROW()*0.00001)</f>
        <v>221.99985000000001</v>
      </c>
      <c r="L15" s="1">
        <f t="shared" si="0"/>
        <v>221.99985000000001</v>
      </c>
      <c r="M15" s="1">
        <f t="shared" si="1"/>
        <v>221.99985000000001</v>
      </c>
      <c r="N15" s="1">
        <f t="shared" si="2"/>
        <v>221.99985000000001</v>
      </c>
      <c r="O15" s="1" t="str">
        <f t="shared" si="3"/>
        <v/>
      </c>
      <c r="P15" s="1" t="str">
        <f t="shared" si="4"/>
        <v/>
      </c>
      <c r="Q15" s="1" t="str">
        <f t="shared" si="5"/>
        <v/>
      </c>
      <c r="R15" s="1" t="str">
        <f t="shared" si="6"/>
        <v/>
      </c>
      <c r="S15" s="1" t="str">
        <f t="shared" si="7"/>
        <v/>
      </c>
      <c r="T15" s="1" t="str">
        <f t="shared" si="8"/>
        <v/>
      </c>
      <c r="U15" s="1" t="str">
        <f t="shared" si="9"/>
        <v/>
      </c>
      <c r="V15" s="1" t="str">
        <f t="shared" si="10"/>
        <v/>
      </c>
      <c r="W15" s="1" t="str">
        <f t="shared" si="11"/>
        <v/>
      </c>
      <c r="X15" s="1" t="str">
        <f t="shared" si="12"/>
        <v/>
      </c>
      <c r="Y15" s="1" t="str">
        <f t="shared" si="13"/>
        <v/>
      </c>
      <c r="Z15" s="1" t="str">
        <f t="shared" si="14"/>
        <v/>
      </c>
      <c r="AA15" s="1" t="str">
        <f t="shared" si="15"/>
        <v/>
      </c>
      <c r="AB15" s="1" t="str">
        <f t="shared" si="16"/>
        <v/>
      </c>
      <c r="AC15" s="1" t="str">
        <f t="shared" si="17"/>
        <v/>
      </c>
      <c r="AD15" s="1">
        <f t="shared" si="18"/>
        <v>221.99985000000001</v>
      </c>
      <c r="AE15" s="1" t="str">
        <f t="shared" si="19"/>
        <v/>
      </c>
      <c r="AF15" s="1" t="str">
        <f t="shared" si="20"/>
        <v/>
      </c>
      <c r="AG15" s="1" t="str">
        <f t="shared" si="21"/>
        <v/>
      </c>
      <c r="AH15" s="1" t="str">
        <f t="shared" si="22"/>
        <v/>
      </c>
      <c r="AI15" s="1" t="str">
        <f t="shared" si="23"/>
        <v/>
      </c>
      <c r="AJ15" s="1">
        <f t="shared" si="24"/>
        <v>221.99985000000001</v>
      </c>
      <c r="AK15" s="1" t="str">
        <f t="shared" si="25"/>
        <v/>
      </c>
      <c r="AL15" s="1" t="str">
        <f t="shared" si="26"/>
        <v/>
      </c>
      <c r="AM15" s="1" t="str">
        <f t="shared" si="27"/>
        <v/>
      </c>
      <c r="AN15" s="1" t="str">
        <f t="shared" si="28"/>
        <v/>
      </c>
      <c r="AO15" s="1" t="str">
        <f t="shared" si="29"/>
        <v/>
      </c>
      <c r="AP15" s="1">
        <f t="shared" si="30"/>
        <v>221.99985000000001</v>
      </c>
      <c r="AQ15" s="1" t="str">
        <f t="shared" si="31"/>
        <v/>
      </c>
      <c r="AR15" s="1" t="str">
        <f t="shared" si="32"/>
        <v/>
      </c>
      <c r="AS15" s="1" t="str">
        <f t="shared" si="33"/>
        <v/>
      </c>
      <c r="AT15" s="1" t="str">
        <f t="shared" si="34"/>
        <v/>
      </c>
      <c r="AU15" s="1" t="str">
        <f t="shared" si="35"/>
        <v/>
      </c>
    </row>
    <row r="16" spans="1:47" ht="19" customHeight="1" x14ac:dyDescent="0.3">
      <c r="A16" s="75" t="s">
        <v>107</v>
      </c>
      <c r="B16" s="75"/>
      <c r="C16" s="75"/>
      <c r="D16" s="89">
        <f>持有情况!P76-ROW()*0.00001</f>
        <v>269.99984000000001</v>
      </c>
      <c r="E16" s="89">
        <v>1</v>
      </c>
      <c r="F16" s="90">
        <v>0</v>
      </c>
      <c r="G16" s="89">
        <v>2</v>
      </c>
      <c r="H16" s="89">
        <v>1</v>
      </c>
      <c r="I16" s="84" t="s">
        <v>289</v>
      </c>
      <c r="J16" s="89">
        <f>IF(路线!C6="计算",INT((8.5/100)*路线!B11+11*路线!B33+17*路线!B15+22+40+20)-ROW()*0.00001,INT((8.5/100)*路线!B11+11*路线!B33+17*路线!B15+22+40)-ROW()*0.00001)</f>
        <v>269.99984000000001</v>
      </c>
      <c r="L16" s="1" t="str">
        <f t="shared" si="0"/>
        <v/>
      </c>
      <c r="M16" s="1" t="str">
        <f t="shared" si="1"/>
        <v/>
      </c>
      <c r="N16" s="1" t="str">
        <f t="shared" si="2"/>
        <v/>
      </c>
      <c r="O16" s="1">
        <f t="shared" si="3"/>
        <v>269.99984000000001</v>
      </c>
      <c r="P16" s="1" t="str">
        <f t="shared" si="4"/>
        <v/>
      </c>
      <c r="Q16" s="1" t="str">
        <f t="shared" si="5"/>
        <v/>
      </c>
      <c r="R16" s="1" t="str">
        <f t="shared" si="6"/>
        <v/>
      </c>
      <c r="S16" s="1" t="str">
        <f t="shared" si="7"/>
        <v/>
      </c>
      <c r="T16" s="1" t="str">
        <f t="shared" si="8"/>
        <v/>
      </c>
      <c r="U16" s="1" t="str">
        <f t="shared" si="9"/>
        <v/>
      </c>
      <c r="V16" s="1" t="str">
        <f t="shared" si="10"/>
        <v/>
      </c>
      <c r="W16" s="1" t="str">
        <f t="shared" si="11"/>
        <v/>
      </c>
      <c r="X16" s="1" t="str">
        <f t="shared" si="12"/>
        <v/>
      </c>
      <c r="Y16" s="1" t="str">
        <f t="shared" si="13"/>
        <v/>
      </c>
      <c r="Z16" s="1" t="str">
        <f t="shared" si="14"/>
        <v/>
      </c>
      <c r="AA16" s="1" t="str">
        <f t="shared" si="15"/>
        <v/>
      </c>
      <c r="AB16" s="1" t="str">
        <f t="shared" si="16"/>
        <v/>
      </c>
      <c r="AC16" s="1" t="str">
        <f t="shared" si="17"/>
        <v/>
      </c>
      <c r="AD16" s="1" t="str">
        <f t="shared" si="18"/>
        <v/>
      </c>
      <c r="AE16" s="1">
        <f t="shared" si="19"/>
        <v>269.99984000000001</v>
      </c>
      <c r="AF16" s="1" t="str">
        <f t="shared" si="20"/>
        <v/>
      </c>
      <c r="AG16" s="1" t="str">
        <f t="shared" si="21"/>
        <v/>
      </c>
      <c r="AH16" s="1" t="str">
        <f t="shared" si="22"/>
        <v/>
      </c>
      <c r="AI16" s="1" t="str">
        <f t="shared" si="23"/>
        <v/>
      </c>
      <c r="AJ16" s="1" t="str">
        <f t="shared" si="24"/>
        <v/>
      </c>
      <c r="AK16" s="1" t="str">
        <f t="shared" si="25"/>
        <v/>
      </c>
      <c r="AL16" s="1" t="str">
        <f t="shared" si="26"/>
        <v/>
      </c>
      <c r="AM16" s="1" t="str">
        <f t="shared" si="27"/>
        <v/>
      </c>
      <c r="AN16" s="1" t="str">
        <f t="shared" si="28"/>
        <v/>
      </c>
      <c r="AO16" s="1" t="str">
        <f t="shared" si="29"/>
        <v/>
      </c>
      <c r="AP16" s="1" t="str">
        <f t="shared" si="30"/>
        <v/>
      </c>
      <c r="AQ16" s="1" t="str">
        <f t="shared" si="31"/>
        <v/>
      </c>
      <c r="AR16" s="1" t="str">
        <f t="shared" si="32"/>
        <v/>
      </c>
      <c r="AS16" s="1" t="str">
        <f t="shared" si="33"/>
        <v/>
      </c>
      <c r="AT16" s="1" t="str">
        <f t="shared" si="34"/>
        <v/>
      </c>
      <c r="AU16" s="1" t="str">
        <f t="shared" si="35"/>
        <v/>
      </c>
    </row>
    <row r="17" spans="1:47" ht="19" customHeight="1" x14ac:dyDescent="0.3">
      <c r="A17" s="67" t="s">
        <v>135</v>
      </c>
      <c r="B17" s="67"/>
      <c r="C17" s="67"/>
      <c r="D17" s="89">
        <f>IF(路线!B4="计算",持有情况!AC100,持有情况!Z100)-ROW()*0.00001</f>
        <v>190.99983</v>
      </c>
      <c r="E17" s="89">
        <v>3</v>
      </c>
      <c r="F17" s="89">
        <v>1</v>
      </c>
      <c r="G17" s="89">
        <v>3</v>
      </c>
      <c r="H17" s="89">
        <v>1</v>
      </c>
      <c r="I17" s="1"/>
      <c r="J17" s="89">
        <f>IF(路线!B4="计算",INT(60+6*路线!B14+4*路线!B26+40+持有情况!AC99),INT(60+6*路线!B14+4*路线!B26+40))-ROW()*0.00001</f>
        <v>190.99983</v>
      </c>
      <c r="L17" s="1" t="str">
        <f t="shared" si="0"/>
        <v/>
      </c>
      <c r="M17" s="1" t="str">
        <f t="shared" si="1"/>
        <v/>
      </c>
      <c r="N17" s="1" t="str">
        <f t="shared" si="2"/>
        <v/>
      </c>
      <c r="O17" s="1" t="str">
        <f t="shared" si="3"/>
        <v/>
      </c>
      <c r="P17" s="1" t="str">
        <f t="shared" si="4"/>
        <v/>
      </c>
      <c r="Q17" s="1" t="str">
        <f t="shared" si="5"/>
        <v/>
      </c>
      <c r="R17" s="1" t="str">
        <f t="shared" si="6"/>
        <v/>
      </c>
      <c r="S17" s="1" t="str">
        <f t="shared" si="7"/>
        <v/>
      </c>
      <c r="T17" s="1">
        <f t="shared" si="8"/>
        <v>190.99983</v>
      </c>
      <c r="U17" s="1" t="str">
        <f t="shared" si="9"/>
        <v/>
      </c>
      <c r="V17" s="1" t="str">
        <f t="shared" si="10"/>
        <v/>
      </c>
      <c r="W17" s="1" t="str">
        <f t="shared" si="11"/>
        <v/>
      </c>
      <c r="X17" s="1" t="str">
        <f t="shared" si="12"/>
        <v/>
      </c>
      <c r="Y17" s="1" t="str">
        <f t="shared" si="13"/>
        <v/>
      </c>
      <c r="Z17" s="1" t="str">
        <f t="shared" si="14"/>
        <v/>
      </c>
      <c r="AA17" s="1" t="str">
        <f t="shared" si="15"/>
        <v/>
      </c>
      <c r="AB17" s="1" t="str">
        <f t="shared" si="16"/>
        <v/>
      </c>
      <c r="AC17" s="1">
        <f t="shared" si="17"/>
        <v>190.99983</v>
      </c>
      <c r="AD17" s="1" t="str">
        <f t="shared" si="18"/>
        <v/>
      </c>
      <c r="AE17" s="1" t="str">
        <f t="shared" si="19"/>
        <v/>
      </c>
      <c r="AF17" s="1" t="str">
        <f t="shared" si="20"/>
        <v/>
      </c>
      <c r="AG17" s="1" t="str">
        <f t="shared" si="21"/>
        <v/>
      </c>
      <c r="AH17" s="1" t="str">
        <f t="shared" si="22"/>
        <v/>
      </c>
      <c r="AI17" s="1" t="str">
        <f t="shared" si="23"/>
        <v/>
      </c>
      <c r="AJ17" s="1" t="str">
        <f t="shared" si="24"/>
        <v/>
      </c>
      <c r="AK17" s="1" t="str">
        <f t="shared" si="25"/>
        <v/>
      </c>
      <c r="AL17" s="1" t="str">
        <f t="shared" si="26"/>
        <v/>
      </c>
      <c r="AM17" s="1" t="str">
        <f t="shared" si="27"/>
        <v/>
      </c>
      <c r="AN17" s="1" t="str">
        <f t="shared" si="28"/>
        <v/>
      </c>
      <c r="AO17" s="1" t="str">
        <f t="shared" si="29"/>
        <v/>
      </c>
      <c r="AP17" s="1" t="str">
        <f t="shared" si="30"/>
        <v/>
      </c>
      <c r="AQ17" s="1" t="str">
        <f t="shared" si="31"/>
        <v/>
      </c>
      <c r="AR17" s="1" t="str">
        <f t="shared" si="32"/>
        <v/>
      </c>
      <c r="AS17" s="1" t="str">
        <f t="shared" si="33"/>
        <v/>
      </c>
      <c r="AT17" s="1" t="str">
        <f t="shared" si="34"/>
        <v/>
      </c>
      <c r="AU17" s="1">
        <f t="shared" si="35"/>
        <v>190.99983</v>
      </c>
    </row>
    <row r="18" spans="1:47" ht="19" customHeight="1" x14ac:dyDescent="0.3">
      <c r="A18" s="57" t="s">
        <v>23</v>
      </c>
      <c r="B18" s="57"/>
      <c r="C18" s="57"/>
      <c r="D18" s="89">
        <f>持有情况!F10-ROW()*0.00001</f>
        <v>151.99982</v>
      </c>
      <c r="E18" s="90">
        <v>0</v>
      </c>
      <c r="F18" s="90">
        <v>0</v>
      </c>
      <c r="G18" s="89">
        <v>1</v>
      </c>
      <c r="H18" s="89">
        <v>1</v>
      </c>
      <c r="I18" s="84" t="s">
        <v>290</v>
      </c>
      <c r="J18" s="89">
        <f>INT((8.5/100)*路线!B11+15*路线!B31+3*路线!B24+40)-ROW()*0.00001</f>
        <v>151.99982</v>
      </c>
      <c r="L18" s="1">
        <f t="shared" si="0"/>
        <v>151.99982</v>
      </c>
      <c r="M18" s="1">
        <f t="shared" si="1"/>
        <v>151.99982</v>
      </c>
      <c r="N18" s="1">
        <f t="shared" si="2"/>
        <v>151.99982</v>
      </c>
      <c r="O18" s="1" t="str">
        <f t="shared" si="3"/>
        <v/>
      </c>
      <c r="P18" s="1" t="str">
        <f t="shared" si="4"/>
        <v/>
      </c>
      <c r="Q18" s="1" t="str">
        <f t="shared" si="5"/>
        <v/>
      </c>
      <c r="R18" s="1" t="str">
        <f t="shared" si="6"/>
        <v/>
      </c>
      <c r="S18" s="1" t="str">
        <f t="shared" si="7"/>
        <v/>
      </c>
      <c r="T18" s="1" t="str">
        <f t="shared" si="8"/>
        <v/>
      </c>
      <c r="U18" s="1" t="str">
        <f t="shared" si="9"/>
        <v/>
      </c>
      <c r="V18" s="1" t="str">
        <f t="shared" si="10"/>
        <v/>
      </c>
      <c r="W18" s="1" t="str">
        <f t="shared" si="11"/>
        <v/>
      </c>
      <c r="X18" s="1" t="str">
        <f t="shared" si="12"/>
        <v/>
      </c>
      <c r="Y18" s="1" t="str">
        <f t="shared" si="13"/>
        <v/>
      </c>
      <c r="Z18" s="1" t="str">
        <f t="shared" si="14"/>
        <v/>
      </c>
      <c r="AA18" s="1" t="str">
        <f t="shared" si="15"/>
        <v/>
      </c>
      <c r="AB18" s="1" t="str">
        <f t="shared" si="16"/>
        <v/>
      </c>
      <c r="AC18" s="1" t="str">
        <f t="shared" si="17"/>
        <v/>
      </c>
      <c r="AD18" s="1">
        <f t="shared" si="18"/>
        <v>151.99982</v>
      </c>
      <c r="AE18" s="1" t="str">
        <f t="shared" si="19"/>
        <v/>
      </c>
      <c r="AF18" s="1" t="str">
        <f t="shared" si="20"/>
        <v/>
      </c>
      <c r="AG18" s="1" t="str">
        <f t="shared" si="21"/>
        <v/>
      </c>
      <c r="AH18" s="1" t="str">
        <f t="shared" si="22"/>
        <v/>
      </c>
      <c r="AI18" s="1" t="str">
        <f t="shared" si="23"/>
        <v/>
      </c>
      <c r="AJ18" s="1">
        <f t="shared" si="24"/>
        <v>151.99982</v>
      </c>
      <c r="AK18" s="1" t="str">
        <f t="shared" si="25"/>
        <v/>
      </c>
      <c r="AL18" s="1" t="str">
        <f t="shared" si="26"/>
        <v/>
      </c>
      <c r="AM18" s="1" t="str">
        <f t="shared" si="27"/>
        <v/>
      </c>
      <c r="AN18" s="1" t="str">
        <f t="shared" si="28"/>
        <v/>
      </c>
      <c r="AO18" s="1" t="str">
        <f t="shared" si="29"/>
        <v/>
      </c>
      <c r="AP18" s="1">
        <f t="shared" si="30"/>
        <v>151.99982</v>
      </c>
      <c r="AQ18" s="1" t="str">
        <f t="shared" si="31"/>
        <v/>
      </c>
      <c r="AR18" s="1" t="str">
        <f t="shared" si="32"/>
        <v/>
      </c>
      <c r="AS18" s="1" t="str">
        <f t="shared" si="33"/>
        <v/>
      </c>
      <c r="AT18" s="1" t="str">
        <f t="shared" si="34"/>
        <v/>
      </c>
      <c r="AU18" s="1" t="str">
        <f t="shared" si="35"/>
        <v/>
      </c>
    </row>
    <row r="19" spans="1:47" ht="19" customHeight="1" x14ac:dyDescent="0.3">
      <c r="A19" s="67" t="s">
        <v>93</v>
      </c>
      <c r="B19" s="67"/>
      <c r="C19" s="67"/>
      <c r="D19" s="89">
        <f>IF(路线!B4="计算",持有情况!AC64,持有情况!Z64)-ROW()*0.00001</f>
        <v>228.99981</v>
      </c>
      <c r="E19" s="90">
        <v>0</v>
      </c>
      <c r="F19" s="89">
        <v>1</v>
      </c>
      <c r="G19" s="89">
        <v>3</v>
      </c>
      <c r="H19" s="90">
        <v>0</v>
      </c>
      <c r="I19" s="1"/>
      <c r="J19" s="89">
        <f>IF(路线!B4="计算",INT(60+6*路线!B14+3*路线!B23+40+持有情况!AC63),INT(60+6*路线!B14+3*路线!B23+40))-ROW()*0.00001</f>
        <v>228.99981</v>
      </c>
      <c r="L19" s="1" t="str">
        <f t="shared" si="0"/>
        <v/>
      </c>
      <c r="M19" s="1" t="str">
        <f t="shared" si="1"/>
        <v/>
      </c>
      <c r="N19" s="1" t="str">
        <f t="shared" si="2"/>
        <v/>
      </c>
      <c r="O19" s="1" t="str">
        <f t="shared" si="3"/>
        <v/>
      </c>
      <c r="P19" s="1" t="str">
        <f t="shared" si="4"/>
        <v/>
      </c>
      <c r="Q19" s="1" t="str">
        <f t="shared" si="5"/>
        <v/>
      </c>
      <c r="R19" s="1">
        <f t="shared" si="6"/>
        <v>228.99981</v>
      </c>
      <c r="S19" s="1">
        <f t="shared" si="7"/>
        <v>228.99981</v>
      </c>
      <c r="T19" s="1">
        <f t="shared" si="8"/>
        <v>228.99981</v>
      </c>
      <c r="U19" s="1" t="str">
        <f t="shared" si="9"/>
        <v/>
      </c>
      <c r="V19" s="1" t="str">
        <f t="shared" si="10"/>
        <v/>
      </c>
      <c r="W19" s="1">
        <f t="shared" si="11"/>
        <v>228.99981</v>
      </c>
      <c r="X19" s="1" t="str">
        <f t="shared" si="12"/>
        <v/>
      </c>
      <c r="Y19" s="1" t="str">
        <f t="shared" si="13"/>
        <v/>
      </c>
      <c r="Z19" s="1">
        <f t="shared" si="14"/>
        <v>228.99981</v>
      </c>
      <c r="AA19" s="1" t="str">
        <f t="shared" si="15"/>
        <v/>
      </c>
      <c r="AB19" s="1" t="str">
        <f t="shared" si="16"/>
        <v/>
      </c>
      <c r="AC19" s="1">
        <f t="shared" si="17"/>
        <v>228.99981</v>
      </c>
      <c r="AD19" s="1" t="str">
        <f t="shared" si="18"/>
        <v/>
      </c>
      <c r="AE19" s="1" t="str">
        <f t="shared" si="19"/>
        <v/>
      </c>
      <c r="AF19" s="1" t="str">
        <f t="shared" si="20"/>
        <v/>
      </c>
      <c r="AG19" s="1" t="str">
        <f t="shared" si="21"/>
        <v/>
      </c>
      <c r="AH19" s="1" t="str">
        <f t="shared" si="22"/>
        <v/>
      </c>
      <c r="AI19" s="1">
        <f t="shared" si="23"/>
        <v>228.99981</v>
      </c>
      <c r="AJ19" s="1" t="str">
        <f t="shared" si="24"/>
        <v/>
      </c>
      <c r="AK19" s="1" t="str">
        <f t="shared" si="25"/>
        <v/>
      </c>
      <c r="AL19" s="1" t="str">
        <f t="shared" si="26"/>
        <v/>
      </c>
      <c r="AM19" s="1" t="str">
        <f t="shared" si="27"/>
        <v/>
      </c>
      <c r="AN19" s="1" t="str">
        <f t="shared" si="28"/>
        <v/>
      </c>
      <c r="AO19" s="1">
        <f t="shared" si="29"/>
        <v>228.99981</v>
      </c>
      <c r="AP19" s="1" t="str">
        <f t="shared" si="30"/>
        <v/>
      </c>
      <c r="AQ19" s="1" t="str">
        <f t="shared" si="31"/>
        <v/>
      </c>
      <c r="AR19" s="1" t="str">
        <f t="shared" si="32"/>
        <v/>
      </c>
      <c r="AS19" s="1" t="str">
        <f t="shared" si="33"/>
        <v/>
      </c>
      <c r="AT19" s="1" t="str">
        <f t="shared" si="34"/>
        <v/>
      </c>
      <c r="AU19" s="1">
        <f t="shared" si="35"/>
        <v>228.99981</v>
      </c>
    </row>
    <row r="20" spans="1:47" ht="19" customHeight="1" x14ac:dyDescent="0.3">
      <c r="A20" s="75" t="s">
        <v>126</v>
      </c>
      <c r="B20" s="75"/>
      <c r="C20" s="75"/>
      <c r="D20" s="89">
        <f>持有情况!P94-ROW()*0.00001</f>
        <v>185.99979999999999</v>
      </c>
      <c r="E20" s="89">
        <v>2</v>
      </c>
      <c r="F20" s="89">
        <v>1</v>
      </c>
      <c r="G20" s="89">
        <v>2</v>
      </c>
      <c r="H20" s="90">
        <v>0</v>
      </c>
      <c r="I20" s="1"/>
      <c r="J20" s="89">
        <f>INT(60+17*路线!B15+9*路线!B29+40)-ROW()*0.00001</f>
        <v>185.99979999999999</v>
      </c>
      <c r="L20" s="1" t="str">
        <f t="shared" si="0"/>
        <v/>
      </c>
      <c r="M20" s="1" t="str">
        <f t="shared" si="1"/>
        <v/>
      </c>
      <c r="N20" s="1" t="str">
        <f t="shared" si="2"/>
        <v/>
      </c>
      <c r="O20" s="1" t="str">
        <f t="shared" si="3"/>
        <v/>
      </c>
      <c r="P20" s="1">
        <f t="shared" si="4"/>
        <v>185.99979999999999</v>
      </c>
      <c r="Q20" s="1" t="str">
        <f t="shared" si="5"/>
        <v/>
      </c>
      <c r="R20" s="1" t="str">
        <f t="shared" si="6"/>
        <v/>
      </c>
      <c r="S20" s="1" t="str">
        <f t="shared" si="7"/>
        <v/>
      </c>
      <c r="T20" s="1" t="str">
        <f t="shared" si="8"/>
        <v/>
      </c>
      <c r="U20" s="1" t="str">
        <f t="shared" si="9"/>
        <v/>
      </c>
      <c r="V20" s="1" t="str">
        <f t="shared" si="10"/>
        <v/>
      </c>
      <c r="W20" s="1" t="str">
        <f t="shared" si="11"/>
        <v/>
      </c>
      <c r="X20" s="1" t="str">
        <f t="shared" si="12"/>
        <v/>
      </c>
      <c r="Y20" s="1">
        <f t="shared" si="13"/>
        <v>185.99979999999999</v>
      </c>
      <c r="Z20" s="1" t="str">
        <f t="shared" si="14"/>
        <v/>
      </c>
      <c r="AA20" s="1" t="str">
        <f t="shared" si="15"/>
        <v/>
      </c>
      <c r="AB20" s="1" t="str">
        <f t="shared" si="16"/>
        <v/>
      </c>
      <c r="AC20" s="1" t="str">
        <f t="shared" si="17"/>
        <v/>
      </c>
      <c r="AD20" s="1" t="str">
        <f t="shared" si="18"/>
        <v/>
      </c>
      <c r="AE20" s="1" t="str">
        <f t="shared" si="19"/>
        <v/>
      </c>
      <c r="AF20" s="1" t="str">
        <f t="shared" si="20"/>
        <v/>
      </c>
      <c r="AG20" s="1" t="str">
        <f t="shared" si="21"/>
        <v/>
      </c>
      <c r="AH20" s="1" t="str">
        <f t="shared" si="22"/>
        <v/>
      </c>
      <c r="AI20" s="1" t="str">
        <f t="shared" si="23"/>
        <v/>
      </c>
      <c r="AJ20" s="1" t="str">
        <f t="shared" si="24"/>
        <v/>
      </c>
      <c r="AK20" s="1" t="str">
        <f t="shared" si="25"/>
        <v/>
      </c>
      <c r="AL20" s="1" t="str">
        <f t="shared" si="26"/>
        <v/>
      </c>
      <c r="AM20" s="1" t="str">
        <f t="shared" si="27"/>
        <v/>
      </c>
      <c r="AN20" s="1">
        <f t="shared" si="28"/>
        <v>185.99979999999999</v>
      </c>
      <c r="AO20" s="1" t="str">
        <f t="shared" si="29"/>
        <v/>
      </c>
      <c r="AP20" s="1" t="str">
        <f t="shared" si="30"/>
        <v/>
      </c>
      <c r="AQ20" s="1" t="str">
        <f t="shared" si="31"/>
        <v/>
      </c>
      <c r="AR20" s="1" t="str">
        <f t="shared" si="32"/>
        <v/>
      </c>
      <c r="AS20" s="1" t="str">
        <f t="shared" si="33"/>
        <v/>
      </c>
      <c r="AT20" s="1" t="str">
        <f t="shared" si="34"/>
        <v/>
      </c>
      <c r="AU20" s="1" t="str">
        <f t="shared" si="35"/>
        <v/>
      </c>
    </row>
    <row r="21" spans="1:47" ht="19" customHeight="1" x14ac:dyDescent="0.3">
      <c r="A21" s="67" t="s">
        <v>80</v>
      </c>
      <c r="B21" s="67"/>
      <c r="C21" s="67"/>
      <c r="D21" s="89">
        <f>持有情况!Z52-ROW()*0.00001</f>
        <v>277.99979000000002</v>
      </c>
      <c r="E21" s="89">
        <v>1</v>
      </c>
      <c r="F21" s="90">
        <v>0</v>
      </c>
      <c r="G21" s="89">
        <v>3</v>
      </c>
      <c r="H21" s="89">
        <v>1</v>
      </c>
      <c r="I21" s="84" t="s">
        <v>291</v>
      </c>
      <c r="J21" s="89">
        <f>IF(路线!C6="计算",INT((8.5/100)*路线!B11+3*路线!B23+17*路线!B15+11*路线!B33+40+20)-ROW()*0.00001,INT((8.5/100)*路线!B11+3*路线!B23+17*路线!B15+11*路线!B33+40)-ROW()*0.00001)</f>
        <v>277.99979000000002</v>
      </c>
      <c r="L21" s="1" t="str">
        <f t="shared" si="0"/>
        <v/>
      </c>
      <c r="M21" s="1" t="str">
        <f t="shared" si="1"/>
        <v/>
      </c>
      <c r="N21" s="1" t="str">
        <f t="shared" si="2"/>
        <v/>
      </c>
      <c r="O21" s="1" t="str">
        <f t="shared" si="3"/>
        <v/>
      </c>
      <c r="P21" s="1" t="str">
        <f t="shared" si="4"/>
        <v/>
      </c>
      <c r="Q21" s="1" t="str">
        <f t="shared" si="5"/>
        <v/>
      </c>
      <c r="R21" s="1">
        <f t="shared" si="6"/>
        <v>277.99979000000002</v>
      </c>
      <c r="S21" s="1" t="str">
        <f t="shared" si="7"/>
        <v/>
      </c>
      <c r="T21" s="1" t="str">
        <f t="shared" si="8"/>
        <v/>
      </c>
      <c r="U21" s="1" t="str">
        <f t="shared" si="9"/>
        <v/>
      </c>
      <c r="V21" s="1" t="str">
        <f t="shared" si="10"/>
        <v/>
      </c>
      <c r="W21" s="1" t="str">
        <f t="shared" si="11"/>
        <v/>
      </c>
      <c r="X21" s="1" t="str">
        <f t="shared" si="12"/>
        <v/>
      </c>
      <c r="Y21" s="1" t="str">
        <f t="shared" si="13"/>
        <v/>
      </c>
      <c r="Z21" s="1" t="str">
        <f t="shared" si="14"/>
        <v/>
      </c>
      <c r="AA21" s="1" t="str">
        <f t="shared" si="15"/>
        <v/>
      </c>
      <c r="AB21" s="1" t="str">
        <f t="shared" si="16"/>
        <v/>
      </c>
      <c r="AC21" s="1" t="str">
        <f t="shared" si="17"/>
        <v/>
      </c>
      <c r="AD21" s="1" t="str">
        <f t="shared" si="18"/>
        <v/>
      </c>
      <c r="AE21" s="1" t="str">
        <f t="shared" si="19"/>
        <v/>
      </c>
      <c r="AF21" s="1">
        <f t="shared" si="20"/>
        <v>277.99979000000002</v>
      </c>
      <c r="AG21" s="1" t="str">
        <f t="shared" si="21"/>
        <v/>
      </c>
      <c r="AH21" s="1" t="str">
        <f t="shared" si="22"/>
        <v/>
      </c>
      <c r="AI21" s="1" t="str">
        <f t="shared" si="23"/>
        <v/>
      </c>
      <c r="AJ21" s="1" t="str">
        <f t="shared" si="24"/>
        <v/>
      </c>
      <c r="AK21" s="1" t="str">
        <f t="shared" si="25"/>
        <v/>
      </c>
      <c r="AL21" s="1" t="str">
        <f t="shared" si="26"/>
        <v/>
      </c>
      <c r="AM21" s="1" t="str">
        <f t="shared" si="27"/>
        <v/>
      </c>
      <c r="AN21" s="1" t="str">
        <f t="shared" si="28"/>
        <v/>
      </c>
      <c r="AO21" s="1" t="str">
        <f t="shared" si="29"/>
        <v/>
      </c>
      <c r="AP21" s="1" t="str">
        <f t="shared" si="30"/>
        <v/>
      </c>
      <c r="AQ21" s="1" t="str">
        <f t="shared" si="31"/>
        <v/>
      </c>
      <c r="AR21" s="1" t="str">
        <f t="shared" si="32"/>
        <v/>
      </c>
      <c r="AS21" s="1" t="str">
        <f t="shared" si="33"/>
        <v/>
      </c>
      <c r="AT21" s="1" t="str">
        <f t="shared" si="34"/>
        <v/>
      </c>
      <c r="AU21" s="1" t="str">
        <f t="shared" si="35"/>
        <v/>
      </c>
    </row>
    <row r="22" spans="1:47" ht="19" customHeight="1" x14ac:dyDescent="0.3">
      <c r="A22" s="75" t="s">
        <v>136</v>
      </c>
      <c r="B22" s="75"/>
      <c r="C22" s="75"/>
      <c r="D22" s="89">
        <f>持有情况!AT100-ROW()*0.00001</f>
        <v>138.99977999999999</v>
      </c>
      <c r="E22" s="89">
        <v>1</v>
      </c>
      <c r="F22" s="90">
        <v>0</v>
      </c>
      <c r="G22" s="89">
        <v>2</v>
      </c>
      <c r="H22" s="90">
        <v>0</v>
      </c>
      <c r="I22" s="1"/>
      <c r="J22" s="89">
        <f>INT(45+10*路线!B31+6*路线!B29+13*路线!B15+30)-ROW()*0.00001</f>
        <v>138.99977999999999</v>
      </c>
      <c r="L22" s="1" t="str">
        <f t="shared" si="0"/>
        <v/>
      </c>
      <c r="M22" s="1" t="str">
        <f t="shared" si="1"/>
        <v/>
      </c>
      <c r="N22" s="1" t="str">
        <f t="shared" si="2"/>
        <v/>
      </c>
      <c r="O22" s="1">
        <f t="shared" si="3"/>
        <v>138.99977999999999</v>
      </c>
      <c r="P22" s="1" t="str">
        <f t="shared" si="4"/>
        <v/>
      </c>
      <c r="Q22" s="1" t="str">
        <f t="shared" si="5"/>
        <v/>
      </c>
      <c r="R22" s="1" t="str">
        <f t="shared" si="6"/>
        <v/>
      </c>
      <c r="S22" s="1" t="str">
        <f t="shared" si="7"/>
        <v/>
      </c>
      <c r="T22" s="1" t="str">
        <f t="shared" si="8"/>
        <v/>
      </c>
      <c r="U22" s="1" t="str">
        <f t="shared" si="9"/>
        <v/>
      </c>
      <c r="V22" s="1" t="str">
        <f t="shared" si="10"/>
        <v/>
      </c>
      <c r="W22" s="1" t="str">
        <f t="shared" si="11"/>
        <v/>
      </c>
      <c r="X22" s="1" t="str">
        <f t="shared" si="12"/>
        <v/>
      </c>
      <c r="Y22" s="1" t="str">
        <f t="shared" si="13"/>
        <v/>
      </c>
      <c r="Z22" s="1" t="str">
        <f t="shared" si="14"/>
        <v/>
      </c>
      <c r="AA22" s="1" t="str">
        <f t="shared" si="15"/>
        <v/>
      </c>
      <c r="AB22" s="1" t="str">
        <f t="shared" si="16"/>
        <v/>
      </c>
      <c r="AC22" s="1" t="str">
        <f t="shared" si="17"/>
        <v/>
      </c>
      <c r="AD22" s="1" t="str">
        <f t="shared" si="18"/>
        <v/>
      </c>
      <c r="AE22" s="1">
        <f t="shared" si="19"/>
        <v>138.99977999999999</v>
      </c>
      <c r="AF22" s="1" t="str">
        <f t="shared" si="20"/>
        <v/>
      </c>
      <c r="AG22" s="1" t="str">
        <f t="shared" si="21"/>
        <v/>
      </c>
      <c r="AH22" s="1" t="str">
        <f t="shared" si="22"/>
        <v/>
      </c>
      <c r="AI22" s="1" t="str">
        <f t="shared" si="23"/>
        <v/>
      </c>
      <c r="AJ22" s="1" t="str">
        <f t="shared" si="24"/>
        <v/>
      </c>
      <c r="AK22" s="1" t="str">
        <f t="shared" si="25"/>
        <v/>
      </c>
      <c r="AL22" s="1" t="str">
        <f t="shared" si="26"/>
        <v/>
      </c>
      <c r="AM22" s="1" t="str">
        <f t="shared" si="27"/>
        <v/>
      </c>
      <c r="AN22" s="1" t="str">
        <f t="shared" si="28"/>
        <v/>
      </c>
      <c r="AO22" s="1" t="str">
        <f t="shared" si="29"/>
        <v/>
      </c>
      <c r="AP22" s="1" t="str">
        <f t="shared" si="30"/>
        <v/>
      </c>
      <c r="AQ22" s="1" t="str">
        <f t="shared" si="31"/>
        <v/>
      </c>
      <c r="AR22" s="1" t="str">
        <f t="shared" si="32"/>
        <v/>
      </c>
      <c r="AS22" s="1" t="str">
        <f t="shared" si="33"/>
        <v/>
      </c>
      <c r="AT22" s="1" t="str">
        <f t="shared" si="34"/>
        <v/>
      </c>
      <c r="AU22" s="1" t="str">
        <f t="shared" si="35"/>
        <v/>
      </c>
    </row>
    <row r="23" spans="1:47" ht="19" customHeight="1" x14ac:dyDescent="0.3">
      <c r="A23" s="67" t="s">
        <v>50</v>
      </c>
      <c r="B23" s="67"/>
      <c r="C23" s="67"/>
      <c r="D23" s="89">
        <f>持有情况!Z28-ROW()*0.00001</f>
        <v>199.99977000000001</v>
      </c>
      <c r="E23" s="90">
        <v>0</v>
      </c>
      <c r="F23" s="90">
        <v>0</v>
      </c>
      <c r="G23" s="89">
        <v>3</v>
      </c>
      <c r="H23" s="89">
        <v>1</v>
      </c>
      <c r="I23" s="84" t="s">
        <v>292</v>
      </c>
      <c r="J23" s="89">
        <f>INT((8.5/100)*路线!B11+17*路线!B15+4*(路线!B28+路线!B29)+40)-ROW()*0.00001</f>
        <v>199.99977000000001</v>
      </c>
      <c r="L23" s="1" t="str">
        <f t="shared" si="0"/>
        <v/>
      </c>
      <c r="M23" s="1" t="str">
        <f t="shared" si="1"/>
        <v/>
      </c>
      <c r="N23" s="1" t="str">
        <f t="shared" si="2"/>
        <v/>
      </c>
      <c r="O23" s="1" t="str">
        <f t="shared" si="3"/>
        <v/>
      </c>
      <c r="P23" s="1" t="str">
        <f t="shared" si="4"/>
        <v/>
      </c>
      <c r="Q23" s="1" t="str">
        <f t="shared" si="5"/>
        <v/>
      </c>
      <c r="R23" s="1">
        <f t="shared" si="6"/>
        <v>199.99977000000001</v>
      </c>
      <c r="S23" s="1">
        <f t="shared" si="7"/>
        <v>199.99977000000001</v>
      </c>
      <c r="T23" s="1">
        <f t="shared" si="8"/>
        <v>199.99977000000001</v>
      </c>
      <c r="U23" s="1" t="str">
        <f t="shared" si="9"/>
        <v/>
      </c>
      <c r="V23" s="1" t="str">
        <f t="shared" si="10"/>
        <v/>
      </c>
      <c r="W23" s="1" t="str">
        <f t="shared" si="11"/>
        <v/>
      </c>
      <c r="X23" s="1" t="str">
        <f t="shared" si="12"/>
        <v/>
      </c>
      <c r="Y23" s="1" t="str">
        <f t="shared" si="13"/>
        <v/>
      </c>
      <c r="Z23" s="1" t="str">
        <f t="shared" si="14"/>
        <v/>
      </c>
      <c r="AA23" s="1" t="str">
        <f t="shared" si="15"/>
        <v/>
      </c>
      <c r="AB23" s="1" t="str">
        <f t="shared" si="16"/>
        <v/>
      </c>
      <c r="AC23" s="1" t="str">
        <f t="shared" si="17"/>
        <v/>
      </c>
      <c r="AD23" s="1" t="str">
        <f t="shared" si="18"/>
        <v/>
      </c>
      <c r="AE23" s="1" t="str">
        <f t="shared" si="19"/>
        <v/>
      </c>
      <c r="AF23" s="1">
        <f t="shared" si="20"/>
        <v>199.99977000000001</v>
      </c>
      <c r="AG23" s="1" t="str">
        <f t="shared" si="21"/>
        <v/>
      </c>
      <c r="AH23" s="1" t="str">
        <f t="shared" si="22"/>
        <v/>
      </c>
      <c r="AI23" s="1" t="str">
        <f t="shared" si="23"/>
        <v/>
      </c>
      <c r="AJ23" s="1" t="str">
        <f t="shared" si="24"/>
        <v/>
      </c>
      <c r="AK23" s="1" t="str">
        <f t="shared" si="25"/>
        <v/>
      </c>
      <c r="AL23" s="1">
        <f t="shared" si="26"/>
        <v>199.99977000000001</v>
      </c>
      <c r="AM23" s="1" t="str">
        <f t="shared" si="27"/>
        <v/>
      </c>
      <c r="AN23" s="1" t="str">
        <f t="shared" si="28"/>
        <v/>
      </c>
      <c r="AO23" s="1" t="str">
        <f t="shared" si="29"/>
        <v/>
      </c>
      <c r="AP23" s="1" t="str">
        <f t="shared" si="30"/>
        <v/>
      </c>
      <c r="AQ23" s="1" t="str">
        <f t="shared" si="31"/>
        <v/>
      </c>
      <c r="AR23" s="1">
        <f t="shared" si="32"/>
        <v>199.99977000000001</v>
      </c>
      <c r="AS23" s="1" t="str">
        <f t="shared" si="33"/>
        <v/>
      </c>
      <c r="AT23" s="1" t="str">
        <f t="shared" si="34"/>
        <v/>
      </c>
      <c r="AU23" s="1" t="str">
        <f t="shared" si="35"/>
        <v/>
      </c>
    </row>
    <row r="24" spans="1:47" ht="19" customHeight="1" x14ac:dyDescent="0.3">
      <c r="A24" s="57" t="s">
        <v>120</v>
      </c>
      <c r="B24" s="57"/>
      <c r="C24" s="57"/>
      <c r="D24" s="89">
        <f>持有情况!F88-ROW()*0.00001</f>
        <v>123.99975999999999</v>
      </c>
      <c r="E24" s="89">
        <v>2</v>
      </c>
      <c r="F24" s="89">
        <v>1</v>
      </c>
      <c r="G24" s="89">
        <v>1</v>
      </c>
      <c r="H24" s="89">
        <v>1</v>
      </c>
      <c r="I24" s="84" t="s">
        <v>293</v>
      </c>
      <c r="J24" s="89">
        <f>INT(60+6*路线!B14+15*路线!B31+40)-ROW()*0.00001</f>
        <v>123.99975999999999</v>
      </c>
      <c r="L24" s="1" t="str">
        <f t="shared" si="0"/>
        <v/>
      </c>
      <c r="M24" s="1">
        <f t="shared" si="1"/>
        <v>123.99975999999999</v>
      </c>
      <c r="N24" s="1" t="str">
        <f t="shared" si="2"/>
        <v/>
      </c>
      <c r="O24" s="1" t="str">
        <f t="shared" si="3"/>
        <v/>
      </c>
      <c r="P24" s="1" t="str">
        <f t="shared" si="4"/>
        <v/>
      </c>
      <c r="Q24" s="1" t="str">
        <f t="shared" si="5"/>
        <v/>
      </c>
      <c r="R24" s="1" t="str">
        <f t="shared" si="6"/>
        <v/>
      </c>
      <c r="S24" s="1" t="str">
        <f t="shared" si="7"/>
        <v/>
      </c>
      <c r="T24" s="1" t="str">
        <f t="shared" si="8"/>
        <v/>
      </c>
      <c r="U24" s="1" t="str">
        <f t="shared" si="9"/>
        <v/>
      </c>
      <c r="V24" s="1" t="str">
        <f t="shared" si="10"/>
        <v/>
      </c>
      <c r="W24" s="1" t="str">
        <f t="shared" si="11"/>
        <v/>
      </c>
      <c r="X24" s="1">
        <f t="shared" si="12"/>
        <v>123.99975999999999</v>
      </c>
      <c r="Y24" s="1" t="str">
        <f t="shared" si="13"/>
        <v/>
      </c>
      <c r="Z24" s="1" t="str">
        <f t="shared" si="14"/>
        <v/>
      </c>
      <c r="AA24" s="1" t="str">
        <f t="shared" si="15"/>
        <v/>
      </c>
      <c r="AB24" s="1" t="str">
        <f t="shared" si="16"/>
        <v/>
      </c>
      <c r="AC24" s="1" t="str">
        <f t="shared" si="17"/>
        <v/>
      </c>
      <c r="AD24" s="1" t="str">
        <f t="shared" si="18"/>
        <v/>
      </c>
      <c r="AE24" s="1" t="str">
        <f t="shared" si="19"/>
        <v/>
      </c>
      <c r="AF24" s="1" t="str">
        <f t="shared" si="20"/>
        <v/>
      </c>
      <c r="AG24" s="1" t="str">
        <f t="shared" si="21"/>
        <v/>
      </c>
      <c r="AH24" s="1" t="str">
        <f t="shared" si="22"/>
        <v/>
      </c>
      <c r="AI24" s="1" t="str">
        <f t="shared" si="23"/>
        <v/>
      </c>
      <c r="AJ24" s="1" t="str">
        <f t="shared" si="24"/>
        <v/>
      </c>
      <c r="AK24" s="1" t="str">
        <f t="shared" si="25"/>
        <v/>
      </c>
      <c r="AL24" s="1" t="str">
        <f t="shared" si="26"/>
        <v/>
      </c>
      <c r="AM24" s="1">
        <f t="shared" si="27"/>
        <v>123.99975999999999</v>
      </c>
      <c r="AN24" s="1" t="str">
        <f t="shared" si="28"/>
        <v/>
      </c>
      <c r="AO24" s="1" t="str">
        <f t="shared" si="29"/>
        <v/>
      </c>
      <c r="AP24" s="1" t="str">
        <f t="shared" si="30"/>
        <v/>
      </c>
      <c r="AQ24" s="1" t="str">
        <f t="shared" si="31"/>
        <v/>
      </c>
      <c r="AR24" s="1" t="str">
        <f t="shared" si="32"/>
        <v/>
      </c>
      <c r="AS24" s="1" t="str">
        <f t="shared" si="33"/>
        <v/>
      </c>
      <c r="AT24" s="1" t="str">
        <f t="shared" si="34"/>
        <v/>
      </c>
      <c r="AU24" s="1" t="str">
        <f t="shared" si="35"/>
        <v/>
      </c>
    </row>
    <row r="25" spans="1:47" ht="19" customHeight="1" x14ac:dyDescent="0.3">
      <c r="A25" s="67" t="s">
        <v>35</v>
      </c>
      <c r="B25" s="67"/>
      <c r="C25" s="67"/>
      <c r="D25" s="89">
        <f>IF(路线!B4="计算",持有情况!BG16,持有情况!BD16)-ROW()*0.00001</f>
        <v>173.99975000000001</v>
      </c>
      <c r="E25" s="90">
        <v>0</v>
      </c>
      <c r="F25" s="90">
        <v>0</v>
      </c>
      <c r="G25" s="89">
        <v>3</v>
      </c>
      <c r="H25" s="90">
        <v>0</v>
      </c>
      <c r="I25" s="1"/>
      <c r="J25" s="89">
        <f>IF(路线!B4="计算",INT((6.4/100)*路线!B11+5*路线!B30+13*路线!B16+30+持有情况!AM15),INT((6.4/100)*路线!B11+5*路线!B30+13*路线!B16+30))-ROW()*0.00001</f>
        <v>173.99975000000001</v>
      </c>
      <c r="L25" s="1" t="str">
        <f t="shared" si="0"/>
        <v/>
      </c>
      <c r="M25" s="1" t="str">
        <f t="shared" si="1"/>
        <v/>
      </c>
      <c r="N25" s="1" t="str">
        <f t="shared" si="2"/>
        <v/>
      </c>
      <c r="O25" s="1" t="str">
        <f t="shared" si="3"/>
        <v/>
      </c>
      <c r="P25" s="1" t="str">
        <f t="shared" si="4"/>
        <v/>
      </c>
      <c r="Q25" s="1" t="str">
        <f t="shared" si="5"/>
        <v/>
      </c>
      <c r="R25" s="1">
        <f t="shared" si="6"/>
        <v>173.99975000000001</v>
      </c>
      <c r="S25" s="1">
        <f t="shared" si="7"/>
        <v>173.99975000000001</v>
      </c>
      <c r="T25" s="1">
        <f t="shared" si="8"/>
        <v>173.99975000000001</v>
      </c>
      <c r="U25" s="1" t="str">
        <f t="shared" si="9"/>
        <v/>
      </c>
      <c r="V25" s="1" t="str">
        <f t="shared" si="10"/>
        <v/>
      </c>
      <c r="W25" s="1" t="str">
        <f t="shared" si="11"/>
        <v/>
      </c>
      <c r="X25" s="1" t="str">
        <f t="shared" si="12"/>
        <v/>
      </c>
      <c r="Y25" s="1" t="str">
        <f t="shared" si="13"/>
        <v/>
      </c>
      <c r="Z25" s="1" t="str">
        <f t="shared" si="14"/>
        <v/>
      </c>
      <c r="AA25" s="1" t="str">
        <f t="shared" si="15"/>
        <v/>
      </c>
      <c r="AB25" s="1" t="str">
        <f t="shared" si="16"/>
        <v/>
      </c>
      <c r="AC25" s="1" t="str">
        <f t="shared" si="17"/>
        <v/>
      </c>
      <c r="AD25" s="1" t="str">
        <f t="shared" si="18"/>
        <v/>
      </c>
      <c r="AE25" s="1" t="str">
        <f t="shared" si="19"/>
        <v/>
      </c>
      <c r="AF25" s="1">
        <f t="shared" si="20"/>
        <v>173.99975000000001</v>
      </c>
      <c r="AG25" s="1" t="str">
        <f t="shared" si="21"/>
        <v/>
      </c>
      <c r="AH25" s="1" t="str">
        <f t="shared" si="22"/>
        <v/>
      </c>
      <c r="AI25" s="1" t="str">
        <f t="shared" si="23"/>
        <v/>
      </c>
      <c r="AJ25" s="1" t="str">
        <f t="shared" si="24"/>
        <v/>
      </c>
      <c r="AK25" s="1" t="str">
        <f t="shared" si="25"/>
        <v/>
      </c>
      <c r="AL25" s="1">
        <f t="shared" si="26"/>
        <v>173.99975000000001</v>
      </c>
      <c r="AM25" s="1" t="str">
        <f t="shared" si="27"/>
        <v/>
      </c>
      <c r="AN25" s="1" t="str">
        <f t="shared" si="28"/>
        <v/>
      </c>
      <c r="AO25" s="1" t="str">
        <f t="shared" si="29"/>
        <v/>
      </c>
      <c r="AP25" s="1" t="str">
        <f t="shared" si="30"/>
        <v/>
      </c>
      <c r="AQ25" s="1" t="str">
        <f t="shared" si="31"/>
        <v/>
      </c>
      <c r="AR25" s="1">
        <f t="shared" si="32"/>
        <v>173.99975000000001</v>
      </c>
      <c r="AS25" s="1" t="str">
        <f t="shared" si="33"/>
        <v/>
      </c>
      <c r="AT25" s="1" t="str">
        <f t="shared" si="34"/>
        <v/>
      </c>
      <c r="AU25" s="1" t="str">
        <f t="shared" si="35"/>
        <v/>
      </c>
    </row>
    <row r="26" spans="1:47" ht="19" customHeight="1" x14ac:dyDescent="0.3">
      <c r="A26" s="67" t="s">
        <v>118</v>
      </c>
      <c r="B26" s="67"/>
      <c r="C26" s="67"/>
      <c r="D26" s="89">
        <f>IF(路线!B4="计算",持有情况!BG82,持有情况!BD82)-ROW()*0.00001</f>
        <v>198.99974</v>
      </c>
      <c r="E26" s="89">
        <v>3</v>
      </c>
      <c r="F26" s="90">
        <v>0</v>
      </c>
      <c r="G26" s="89">
        <v>3</v>
      </c>
      <c r="H26" s="90">
        <v>0</v>
      </c>
      <c r="I26" s="1"/>
      <c r="J26" s="89">
        <f>IF(路线!B4="计算",INT(45+6*路线!B29+17+5*路线!B30+30+持有情况!BG81),INT(45+6*路线!B29+17+5*路线!B30+30))-ROW()*0.00001</f>
        <v>198.99974</v>
      </c>
      <c r="L26" s="1" t="str">
        <f t="shared" si="0"/>
        <v/>
      </c>
      <c r="M26" s="1" t="str">
        <f t="shared" si="1"/>
        <v/>
      </c>
      <c r="N26" s="1" t="str">
        <f t="shared" si="2"/>
        <v/>
      </c>
      <c r="O26" s="1" t="str">
        <f t="shared" si="3"/>
        <v/>
      </c>
      <c r="P26" s="1" t="str">
        <f t="shared" si="4"/>
        <v/>
      </c>
      <c r="Q26" s="1" t="str">
        <f t="shared" si="5"/>
        <v/>
      </c>
      <c r="R26" s="1" t="str">
        <f t="shared" si="6"/>
        <v/>
      </c>
      <c r="S26" s="1" t="str">
        <f t="shared" si="7"/>
        <v/>
      </c>
      <c r="T26" s="1">
        <f t="shared" si="8"/>
        <v>198.99974</v>
      </c>
      <c r="U26" s="1" t="str">
        <f t="shared" si="9"/>
        <v/>
      </c>
      <c r="V26" s="1" t="str">
        <f t="shared" si="10"/>
        <v/>
      </c>
      <c r="W26" s="1" t="str">
        <f t="shared" si="11"/>
        <v/>
      </c>
      <c r="X26" s="1" t="str">
        <f t="shared" si="12"/>
        <v/>
      </c>
      <c r="Y26" s="1" t="str">
        <f t="shared" si="13"/>
        <v/>
      </c>
      <c r="Z26" s="1" t="str">
        <f t="shared" si="14"/>
        <v/>
      </c>
      <c r="AA26" s="1" t="str">
        <f t="shared" si="15"/>
        <v/>
      </c>
      <c r="AB26" s="1" t="str">
        <f t="shared" si="16"/>
        <v/>
      </c>
      <c r="AC26" s="1" t="str">
        <f t="shared" si="17"/>
        <v/>
      </c>
      <c r="AD26" s="1" t="str">
        <f t="shared" si="18"/>
        <v/>
      </c>
      <c r="AE26" s="1" t="str">
        <f t="shared" si="19"/>
        <v/>
      </c>
      <c r="AF26" s="1" t="str">
        <f t="shared" si="20"/>
        <v/>
      </c>
      <c r="AG26" s="1" t="str">
        <f t="shared" si="21"/>
        <v/>
      </c>
      <c r="AH26" s="1" t="str">
        <f t="shared" si="22"/>
        <v/>
      </c>
      <c r="AI26" s="1" t="str">
        <f t="shared" si="23"/>
        <v/>
      </c>
      <c r="AJ26" s="1" t="str">
        <f t="shared" si="24"/>
        <v/>
      </c>
      <c r="AK26" s="1" t="str">
        <f t="shared" si="25"/>
        <v/>
      </c>
      <c r="AL26" s="1" t="str">
        <f t="shared" si="26"/>
        <v/>
      </c>
      <c r="AM26" s="1" t="str">
        <f t="shared" si="27"/>
        <v/>
      </c>
      <c r="AN26" s="1" t="str">
        <f t="shared" si="28"/>
        <v/>
      </c>
      <c r="AO26" s="1" t="str">
        <f t="shared" si="29"/>
        <v/>
      </c>
      <c r="AP26" s="1" t="str">
        <f t="shared" si="30"/>
        <v/>
      </c>
      <c r="AQ26" s="1" t="str">
        <f t="shared" si="31"/>
        <v/>
      </c>
      <c r="AR26" s="1">
        <f t="shared" si="32"/>
        <v>198.99974</v>
      </c>
      <c r="AS26" s="1" t="str">
        <f t="shared" si="33"/>
        <v/>
      </c>
      <c r="AT26" s="1" t="str">
        <f t="shared" si="34"/>
        <v/>
      </c>
      <c r="AU26" s="1" t="str">
        <f t="shared" si="35"/>
        <v/>
      </c>
    </row>
    <row r="27" spans="1:47" ht="19" customHeight="1" x14ac:dyDescent="0.3">
      <c r="A27" s="57" t="s">
        <v>48</v>
      </c>
      <c r="B27" s="57"/>
      <c r="C27" s="57"/>
      <c r="D27" s="89">
        <f>持有情况!F28-ROW()*0.00001</f>
        <v>201.99973</v>
      </c>
      <c r="E27" s="89">
        <v>1</v>
      </c>
      <c r="F27" s="90">
        <v>0</v>
      </c>
      <c r="G27" s="89">
        <v>1</v>
      </c>
      <c r="H27" s="89">
        <v>1</v>
      </c>
      <c r="I27" s="84" t="s">
        <v>294</v>
      </c>
      <c r="J27" s="89">
        <f>IF(路线!C6="计算",INT(路线!B11*(8.5/100)+7*路线!B29+13*路线!B15+40+20)-ROW()*0.00001,INT(路线!B11*(8.5/100)+7*路线!B29+13*路线!B15+40)-ROW()*0.00001)</f>
        <v>201.99973</v>
      </c>
      <c r="L27" s="1">
        <f t="shared" si="0"/>
        <v>201.99973</v>
      </c>
      <c r="M27" s="1" t="str">
        <f t="shared" si="1"/>
        <v/>
      </c>
      <c r="N27" s="1" t="str">
        <f t="shared" si="2"/>
        <v/>
      </c>
      <c r="O27" s="1" t="str">
        <f t="shared" si="3"/>
        <v/>
      </c>
      <c r="P27" s="1" t="str">
        <f t="shared" si="4"/>
        <v/>
      </c>
      <c r="Q27" s="1" t="str">
        <f t="shared" si="5"/>
        <v/>
      </c>
      <c r="R27" s="1" t="str">
        <f t="shared" si="6"/>
        <v/>
      </c>
      <c r="S27" s="1" t="str">
        <f t="shared" si="7"/>
        <v/>
      </c>
      <c r="T27" s="1" t="str">
        <f t="shared" si="8"/>
        <v/>
      </c>
      <c r="U27" s="1" t="str">
        <f t="shared" si="9"/>
        <v/>
      </c>
      <c r="V27" s="1" t="str">
        <f t="shared" si="10"/>
        <v/>
      </c>
      <c r="W27" s="1" t="str">
        <f t="shared" si="11"/>
        <v/>
      </c>
      <c r="X27" s="1" t="str">
        <f t="shared" si="12"/>
        <v/>
      </c>
      <c r="Y27" s="1" t="str">
        <f t="shared" si="13"/>
        <v/>
      </c>
      <c r="Z27" s="1" t="str">
        <f t="shared" si="14"/>
        <v/>
      </c>
      <c r="AA27" s="1" t="str">
        <f t="shared" si="15"/>
        <v/>
      </c>
      <c r="AB27" s="1" t="str">
        <f t="shared" si="16"/>
        <v/>
      </c>
      <c r="AC27" s="1" t="str">
        <f t="shared" si="17"/>
        <v/>
      </c>
      <c r="AD27" s="1">
        <f t="shared" si="18"/>
        <v>201.99973</v>
      </c>
      <c r="AE27" s="1" t="str">
        <f t="shared" si="19"/>
        <v/>
      </c>
      <c r="AF27" s="1" t="str">
        <f t="shared" si="20"/>
        <v/>
      </c>
      <c r="AG27" s="1" t="str">
        <f t="shared" si="21"/>
        <v/>
      </c>
      <c r="AH27" s="1" t="str">
        <f t="shared" si="22"/>
        <v/>
      </c>
      <c r="AI27" s="1" t="str">
        <f t="shared" si="23"/>
        <v/>
      </c>
      <c r="AJ27" s="1" t="str">
        <f t="shared" si="24"/>
        <v/>
      </c>
      <c r="AK27" s="1" t="str">
        <f t="shared" si="25"/>
        <v/>
      </c>
      <c r="AL27" s="1" t="str">
        <f t="shared" si="26"/>
        <v/>
      </c>
      <c r="AM27" s="1" t="str">
        <f t="shared" si="27"/>
        <v/>
      </c>
      <c r="AN27" s="1" t="str">
        <f t="shared" si="28"/>
        <v/>
      </c>
      <c r="AO27" s="1" t="str">
        <f t="shared" si="29"/>
        <v/>
      </c>
      <c r="AP27" s="1" t="str">
        <f t="shared" si="30"/>
        <v/>
      </c>
      <c r="AQ27" s="1" t="str">
        <f t="shared" si="31"/>
        <v/>
      </c>
      <c r="AR27" s="1" t="str">
        <f t="shared" si="32"/>
        <v/>
      </c>
      <c r="AS27" s="1" t="str">
        <f t="shared" si="33"/>
        <v/>
      </c>
      <c r="AT27" s="1" t="str">
        <f t="shared" si="34"/>
        <v/>
      </c>
      <c r="AU27" s="1" t="str">
        <f t="shared" si="35"/>
        <v/>
      </c>
    </row>
    <row r="28" spans="1:47" ht="19" customHeight="1" x14ac:dyDescent="0.3">
      <c r="A28" s="75" t="s">
        <v>31</v>
      </c>
      <c r="B28" s="75"/>
      <c r="C28" s="75"/>
      <c r="D28" s="89">
        <f>持有情况!P16-ROW()*0.00001</f>
        <v>201.99972</v>
      </c>
      <c r="E28" s="89">
        <v>2</v>
      </c>
      <c r="F28" s="90">
        <v>0</v>
      </c>
      <c r="G28" s="89">
        <v>2</v>
      </c>
      <c r="H28" s="89">
        <v>1</v>
      </c>
      <c r="I28" s="84" t="s">
        <v>295</v>
      </c>
      <c r="J28" s="89">
        <f>IF(路线!C6="计算",INT(路线!B11*(8.5/100)+7*路线!B29+13*路线!B15+40+20)-ROW()*0.00001,INT(路线!B11*(8.5/100)+7*路线!B29+13*路线!B15+40)-ROW()*0.00001)</f>
        <v>201.99972</v>
      </c>
      <c r="L28" s="1" t="str">
        <f t="shared" si="0"/>
        <v/>
      </c>
      <c r="M28" s="1" t="str">
        <f t="shared" si="1"/>
        <v/>
      </c>
      <c r="N28" s="1" t="str">
        <f t="shared" si="2"/>
        <v/>
      </c>
      <c r="O28" s="1" t="str">
        <f t="shared" si="3"/>
        <v/>
      </c>
      <c r="P28" s="1">
        <f t="shared" si="4"/>
        <v>201.99972</v>
      </c>
      <c r="Q28" s="1" t="str">
        <f t="shared" si="5"/>
        <v/>
      </c>
      <c r="R28" s="1" t="str">
        <f t="shared" si="6"/>
        <v/>
      </c>
      <c r="S28" s="1" t="str">
        <f t="shared" si="7"/>
        <v/>
      </c>
      <c r="T28" s="1" t="str">
        <f t="shared" si="8"/>
        <v/>
      </c>
      <c r="U28" s="1" t="str">
        <f t="shared" si="9"/>
        <v/>
      </c>
      <c r="V28" s="1" t="str">
        <f t="shared" si="10"/>
        <v/>
      </c>
      <c r="W28" s="1" t="str">
        <f t="shared" si="11"/>
        <v/>
      </c>
      <c r="X28" s="1" t="str">
        <f t="shared" si="12"/>
        <v/>
      </c>
      <c r="Y28" s="1" t="str">
        <f t="shared" si="13"/>
        <v/>
      </c>
      <c r="Z28" s="1" t="str">
        <f t="shared" si="14"/>
        <v/>
      </c>
      <c r="AA28" s="1" t="str">
        <f t="shared" si="15"/>
        <v/>
      </c>
      <c r="AB28" s="1" t="str">
        <f t="shared" si="16"/>
        <v/>
      </c>
      <c r="AC28" s="1" t="str">
        <f t="shared" si="17"/>
        <v/>
      </c>
      <c r="AD28" s="1" t="str">
        <f t="shared" si="18"/>
        <v/>
      </c>
      <c r="AE28" s="1" t="str">
        <f t="shared" si="19"/>
        <v/>
      </c>
      <c r="AF28" s="1" t="str">
        <f t="shared" si="20"/>
        <v/>
      </c>
      <c r="AG28" s="1" t="str">
        <f t="shared" si="21"/>
        <v/>
      </c>
      <c r="AH28" s="1" t="str">
        <f t="shared" si="22"/>
        <v/>
      </c>
      <c r="AI28" s="1" t="str">
        <f t="shared" si="23"/>
        <v/>
      </c>
      <c r="AJ28" s="1" t="str">
        <f t="shared" si="24"/>
        <v/>
      </c>
      <c r="AK28" s="1">
        <f t="shared" si="25"/>
        <v>201.99972</v>
      </c>
      <c r="AL28" s="1" t="str">
        <f t="shared" si="26"/>
        <v/>
      </c>
      <c r="AM28" s="1" t="str">
        <f t="shared" si="27"/>
        <v/>
      </c>
      <c r="AN28" s="1" t="str">
        <f t="shared" si="28"/>
        <v/>
      </c>
      <c r="AO28" s="1" t="str">
        <f t="shared" si="29"/>
        <v/>
      </c>
      <c r="AP28" s="1" t="str">
        <f t="shared" si="30"/>
        <v/>
      </c>
      <c r="AQ28" s="1" t="str">
        <f t="shared" si="31"/>
        <v/>
      </c>
      <c r="AR28" s="1" t="str">
        <f t="shared" si="32"/>
        <v/>
      </c>
      <c r="AS28" s="1" t="str">
        <f t="shared" si="33"/>
        <v/>
      </c>
      <c r="AT28" s="1" t="str">
        <f t="shared" si="34"/>
        <v/>
      </c>
      <c r="AU28" s="1" t="str">
        <f t="shared" si="35"/>
        <v/>
      </c>
    </row>
    <row r="29" spans="1:47" ht="19" customHeight="1" x14ac:dyDescent="0.3">
      <c r="A29" s="75" t="s">
        <v>134</v>
      </c>
      <c r="B29" s="75"/>
      <c r="C29" s="75"/>
      <c r="D29" s="89">
        <f>持有情况!P100-ROW()*0.00001</f>
        <v>203.99970999999999</v>
      </c>
      <c r="E29" s="90">
        <v>0</v>
      </c>
      <c r="F29" s="89">
        <v>1</v>
      </c>
      <c r="G29" s="89">
        <v>2</v>
      </c>
      <c r="H29" s="89">
        <v>1</v>
      </c>
      <c r="I29" s="84" t="s">
        <v>296</v>
      </c>
      <c r="J29" s="89">
        <f>INT(60+17*路线!B15+3*路线!B24+40)-ROW()*0.00001</f>
        <v>203.99970999999999</v>
      </c>
      <c r="L29" s="1" t="str">
        <f t="shared" si="0"/>
        <v/>
      </c>
      <c r="M29" s="1" t="str">
        <f t="shared" si="1"/>
        <v/>
      </c>
      <c r="N29" s="1" t="str">
        <f t="shared" si="2"/>
        <v/>
      </c>
      <c r="O29" s="1">
        <f t="shared" si="3"/>
        <v>203.99970999999999</v>
      </c>
      <c r="P29" s="1">
        <f t="shared" si="4"/>
        <v>203.99970999999999</v>
      </c>
      <c r="Q29" s="1">
        <f t="shared" si="5"/>
        <v>203.99970999999999</v>
      </c>
      <c r="R29" s="1" t="str">
        <f t="shared" si="6"/>
        <v/>
      </c>
      <c r="S29" s="1" t="str">
        <f t="shared" si="7"/>
        <v/>
      </c>
      <c r="T29" s="1" t="str">
        <f t="shared" si="8"/>
        <v/>
      </c>
      <c r="U29" s="1" t="str">
        <f t="shared" si="9"/>
        <v/>
      </c>
      <c r="V29" s="1">
        <f t="shared" si="10"/>
        <v>203.99970999999999</v>
      </c>
      <c r="W29" s="1" t="str">
        <f t="shared" si="11"/>
        <v/>
      </c>
      <c r="X29" s="1" t="str">
        <f t="shared" si="12"/>
        <v/>
      </c>
      <c r="Y29" s="1">
        <f t="shared" si="13"/>
        <v>203.99970999999999</v>
      </c>
      <c r="Z29" s="1" t="str">
        <f t="shared" si="14"/>
        <v/>
      </c>
      <c r="AA29" s="1" t="str">
        <f t="shared" si="15"/>
        <v/>
      </c>
      <c r="AB29" s="1">
        <f t="shared" si="16"/>
        <v>203.99970999999999</v>
      </c>
      <c r="AC29" s="1" t="str">
        <f t="shared" si="17"/>
        <v/>
      </c>
      <c r="AD29" s="1" t="str">
        <f t="shared" si="18"/>
        <v/>
      </c>
      <c r="AE29" s="1" t="str">
        <f t="shared" si="19"/>
        <v/>
      </c>
      <c r="AF29" s="1" t="str">
        <f t="shared" si="20"/>
        <v/>
      </c>
      <c r="AG29" s="1" t="str">
        <f t="shared" si="21"/>
        <v/>
      </c>
      <c r="AH29" s="1">
        <f t="shared" si="22"/>
        <v>203.99970999999999</v>
      </c>
      <c r="AI29" s="1" t="str">
        <f t="shared" si="23"/>
        <v/>
      </c>
      <c r="AJ29" s="1" t="str">
        <f t="shared" si="24"/>
        <v/>
      </c>
      <c r="AK29" s="1" t="str">
        <f t="shared" si="25"/>
        <v/>
      </c>
      <c r="AL29" s="1" t="str">
        <f t="shared" si="26"/>
        <v/>
      </c>
      <c r="AM29" s="1" t="str">
        <f t="shared" si="27"/>
        <v/>
      </c>
      <c r="AN29" s="1">
        <f t="shared" si="28"/>
        <v>203.99970999999999</v>
      </c>
      <c r="AO29" s="1" t="str">
        <f t="shared" si="29"/>
        <v/>
      </c>
      <c r="AP29" s="1" t="str">
        <f t="shared" si="30"/>
        <v/>
      </c>
      <c r="AQ29" s="1" t="str">
        <f t="shared" si="31"/>
        <v/>
      </c>
      <c r="AR29" s="1" t="str">
        <f t="shared" si="32"/>
        <v/>
      </c>
      <c r="AS29" s="1" t="str">
        <f t="shared" si="33"/>
        <v/>
      </c>
      <c r="AT29" s="1">
        <f t="shared" si="34"/>
        <v>203.99970999999999</v>
      </c>
      <c r="AU29" s="1" t="str">
        <f t="shared" si="35"/>
        <v/>
      </c>
    </row>
    <row r="30" spans="1:47" ht="19" customHeight="1" x14ac:dyDescent="0.3">
      <c r="A30" s="67" t="s">
        <v>32</v>
      </c>
      <c r="B30" s="67"/>
      <c r="C30" s="67"/>
      <c r="D30" s="89">
        <f>持有情况!Z16-ROW()*0.00001</f>
        <v>203.99969999999999</v>
      </c>
      <c r="E30" s="90">
        <v>0</v>
      </c>
      <c r="F30" s="89">
        <v>1</v>
      </c>
      <c r="G30" s="89">
        <v>3</v>
      </c>
      <c r="H30" s="89">
        <v>1</v>
      </c>
      <c r="I30" s="84" t="s">
        <v>297</v>
      </c>
      <c r="J30" s="89">
        <f>INT(60+17*路线!B15+3*路线!B24+40)-ROW()*0.00001</f>
        <v>203.99969999999999</v>
      </c>
      <c r="L30" s="1" t="str">
        <f t="shared" si="0"/>
        <v/>
      </c>
      <c r="M30" s="1" t="str">
        <f t="shared" si="1"/>
        <v/>
      </c>
      <c r="N30" s="1" t="str">
        <f t="shared" si="2"/>
        <v/>
      </c>
      <c r="O30" s="1" t="str">
        <f t="shared" si="3"/>
        <v/>
      </c>
      <c r="P30" s="1" t="str">
        <f t="shared" si="4"/>
        <v/>
      </c>
      <c r="Q30" s="1" t="str">
        <f t="shared" si="5"/>
        <v/>
      </c>
      <c r="R30" s="1">
        <f t="shared" si="6"/>
        <v>203.99969999999999</v>
      </c>
      <c r="S30" s="1">
        <f t="shared" si="7"/>
        <v>203.99969999999999</v>
      </c>
      <c r="T30" s="1">
        <f t="shared" si="8"/>
        <v>203.99969999999999</v>
      </c>
      <c r="U30" s="1" t="str">
        <f t="shared" si="9"/>
        <v/>
      </c>
      <c r="V30" s="1" t="str">
        <f t="shared" si="10"/>
        <v/>
      </c>
      <c r="W30" s="1">
        <f t="shared" si="11"/>
        <v>203.99969999999999</v>
      </c>
      <c r="X30" s="1" t="str">
        <f t="shared" si="12"/>
        <v/>
      </c>
      <c r="Y30" s="1" t="str">
        <f t="shared" si="13"/>
        <v/>
      </c>
      <c r="Z30" s="1">
        <f t="shared" si="14"/>
        <v>203.99969999999999</v>
      </c>
      <c r="AA30" s="1" t="str">
        <f t="shared" si="15"/>
        <v/>
      </c>
      <c r="AB30" s="1" t="str">
        <f t="shared" si="16"/>
        <v/>
      </c>
      <c r="AC30" s="1">
        <f t="shared" si="17"/>
        <v>203.99969999999999</v>
      </c>
      <c r="AD30" s="1" t="str">
        <f t="shared" si="18"/>
        <v/>
      </c>
      <c r="AE30" s="1" t="str">
        <f t="shared" si="19"/>
        <v/>
      </c>
      <c r="AF30" s="1" t="str">
        <f t="shared" si="20"/>
        <v/>
      </c>
      <c r="AG30" s="1" t="str">
        <f t="shared" si="21"/>
        <v/>
      </c>
      <c r="AH30" s="1" t="str">
        <f t="shared" si="22"/>
        <v/>
      </c>
      <c r="AI30" s="1">
        <f t="shared" si="23"/>
        <v>203.99969999999999</v>
      </c>
      <c r="AJ30" s="1" t="str">
        <f t="shared" si="24"/>
        <v/>
      </c>
      <c r="AK30" s="1" t="str">
        <f t="shared" si="25"/>
        <v/>
      </c>
      <c r="AL30" s="1" t="str">
        <f t="shared" si="26"/>
        <v/>
      </c>
      <c r="AM30" s="1" t="str">
        <f t="shared" si="27"/>
        <v/>
      </c>
      <c r="AN30" s="1" t="str">
        <f t="shared" si="28"/>
        <v/>
      </c>
      <c r="AO30" s="1">
        <f t="shared" si="29"/>
        <v>203.99969999999999</v>
      </c>
      <c r="AP30" s="1" t="str">
        <f t="shared" si="30"/>
        <v/>
      </c>
      <c r="AQ30" s="1" t="str">
        <f t="shared" si="31"/>
        <v/>
      </c>
      <c r="AR30" s="1" t="str">
        <f t="shared" si="32"/>
        <v/>
      </c>
      <c r="AS30" s="1" t="str">
        <f t="shared" si="33"/>
        <v/>
      </c>
      <c r="AT30" s="1" t="str">
        <f t="shared" si="34"/>
        <v/>
      </c>
      <c r="AU30" s="1">
        <f t="shared" si="35"/>
        <v>203.99969999999999</v>
      </c>
    </row>
    <row r="31" spans="1:47" ht="19" customHeight="1" x14ac:dyDescent="0.3">
      <c r="A31" s="67" t="s">
        <v>114</v>
      </c>
      <c r="B31" s="67"/>
      <c r="C31" s="67"/>
      <c r="D31" s="89">
        <f>持有情况!Z82-ROW()*0.00001</f>
        <v>201.99968999999999</v>
      </c>
      <c r="E31" s="89">
        <v>3</v>
      </c>
      <c r="F31" s="90">
        <v>0</v>
      </c>
      <c r="G31" s="89">
        <v>3</v>
      </c>
      <c r="H31" s="89">
        <v>1</v>
      </c>
      <c r="I31" s="84" t="s">
        <v>298</v>
      </c>
      <c r="J31" s="89">
        <f>IF(路线!C6="计算",INT(路线!B11*(8.5/100)+7*路线!B29+13*路线!B15+40+20)-ROW()*0.00001,INT(路线!B11*(8.5/100)+7*路线!B29+13*路线!B15+40)-ROW()*0.00001)</f>
        <v>201.99968999999999</v>
      </c>
      <c r="L31" s="1" t="str">
        <f t="shared" si="0"/>
        <v/>
      </c>
      <c r="M31" s="1" t="str">
        <f t="shared" si="1"/>
        <v/>
      </c>
      <c r="N31" s="1" t="str">
        <f t="shared" si="2"/>
        <v/>
      </c>
      <c r="O31" s="1" t="str">
        <f t="shared" si="3"/>
        <v/>
      </c>
      <c r="P31" s="1" t="str">
        <f t="shared" si="4"/>
        <v/>
      </c>
      <c r="Q31" s="1" t="str">
        <f t="shared" si="5"/>
        <v/>
      </c>
      <c r="R31" s="1" t="str">
        <f t="shared" si="6"/>
        <v/>
      </c>
      <c r="S31" s="1" t="str">
        <f t="shared" si="7"/>
        <v/>
      </c>
      <c r="T31" s="1">
        <f t="shared" si="8"/>
        <v>201.99968999999999</v>
      </c>
      <c r="U31" s="1" t="str">
        <f t="shared" si="9"/>
        <v/>
      </c>
      <c r="V31" s="1" t="str">
        <f t="shared" si="10"/>
        <v/>
      </c>
      <c r="W31" s="1" t="str">
        <f t="shared" si="11"/>
        <v/>
      </c>
      <c r="X31" s="1" t="str">
        <f t="shared" si="12"/>
        <v/>
      </c>
      <c r="Y31" s="1" t="str">
        <f t="shared" si="13"/>
        <v/>
      </c>
      <c r="Z31" s="1" t="str">
        <f t="shared" si="14"/>
        <v/>
      </c>
      <c r="AA31" s="1" t="str">
        <f t="shared" si="15"/>
        <v/>
      </c>
      <c r="AB31" s="1" t="str">
        <f t="shared" si="16"/>
        <v/>
      </c>
      <c r="AC31" s="1" t="str">
        <f t="shared" si="17"/>
        <v/>
      </c>
      <c r="AD31" s="1" t="str">
        <f t="shared" si="18"/>
        <v/>
      </c>
      <c r="AE31" s="1" t="str">
        <f t="shared" si="19"/>
        <v/>
      </c>
      <c r="AF31" s="1" t="str">
        <f t="shared" si="20"/>
        <v/>
      </c>
      <c r="AG31" s="1" t="str">
        <f t="shared" si="21"/>
        <v/>
      </c>
      <c r="AH31" s="1" t="str">
        <f t="shared" si="22"/>
        <v/>
      </c>
      <c r="AI31" s="1" t="str">
        <f t="shared" si="23"/>
        <v/>
      </c>
      <c r="AJ31" s="1" t="str">
        <f t="shared" si="24"/>
        <v/>
      </c>
      <c r="AK31" s="1" t="str">
        <f t="shared" si="25"/>
        <v/>
      </c>
      <c r="AL31" s="1" t="str">
        <f t="shared" si="26"/>
        <v/>
      </c>
      <c r="AM31" s="1" t="str">
        <f t="shared" si="27"/>
        <v/>
      </c>
      <c r="AN31" s="1" t="str">
        <f t="shared" si="28"/>
        <v/>
      </c>
      <c r="AO31" s="1" t="str">
        <f t="shared" si="29"/>
        <v/>
      </c>
      <c r="AP31" s="1" t="str">
        <f t="shared" si="30"/>
        <v/>
      </c>
      <c r="AQ31" s="1" t="str">
        <f t="shared" si="31"/>
        <v/>
      </c>
      <c r="AR31" s="1">
        <f t="shared" si="32"/>
        <v>201.99968999999999</v>
      </c>
      <c r="AS31" s="1" t="str">
        <f t="shared" si="33"/>
        <v/>
      </c>
      <c r="AT31" s="1" t="str">
        <f t="shared" si="34"/>
        <v/>
      </c>
      <c r="AU31" s="1" t="str">
        <f t="shared" si="35"/>
        <v/>
      </c>
    </row>
    <row r="32" spans="1:47" ht="19" customHeight="1" x14ac:dyDescent="0.3">
      <c r="A32" s="57" t="s">
        <v>78</v>
      </c>
      <c r="B32" s="57"/>
      <c r="C32" s="57"/>
      <c r="D32" s="89">
        <f>持有情况!F52-ROW()*0.00001</f>
        <v>205.99968000000001</v>
      </c>
      <c r="E32" s="89">
        <v>1</v>
      </c>
      <c r="F32" s="90">
        <v>0</v>
      </c>
      <c r="G32" s="89">
        <v>1</v>
      </c>
      <c r="H32" s="89">
        <v>1</v>
      </c>
      <c r="I32" s="84" t="s">
        <v>299</v>
      </c>
      <c r="J32" s="89">
        <f>INT((8.5/100)*路线!B11+17*路线!B15+11*路线!B39+40)-ROW()*0.00001</f>
        <v>205.99968000000001</v>
      </c>
      <c r="L32" s="1">
        <f t="shared" si="0"/>
        <v>205.99968000000001</v>
      </c>
      <c r="M32" s="1" t="str">
        <f t="shared" si="1"/>
        <v/>
      </c>
      <c r="N32" s="1" t="str">
        <f t="shared" si="2"/>
        <v/>
      </c>
      <c r="O32" s="1" t="str">
        <f t="shared" si="3"/>
        <v/>
      </c>
      <c r="P32" s="1" t="str">
        <f t="shared" si="4"/>
        <v/>
      </c>
      <c r="Q32" s="1" t="str">
        <f t="shared" si="5"/>
        <v/>
      </c>
      <c r="R32" s="1" t="str">
        <f t="shared" si="6"/>
        <v/>
      </c>
      <c r="S32" s="1" t="str">
        <f t="shared" si="7"/>
        <v/>
      </c>
      <c r="T32" s="1" t="str">
        <f t="shared" si="8"/>
        <v/>
      </c>
      <c r="U32" s="1" t="str">
        <f t="shared" si="9"/>
        <v/>
      </c>
      <c r="V32" s="1" t="str">
        <f t="shared" si="10"/>
        <v/>
      </c>
      <c r="W32" s="1" t="str">
        <f t="shared" si="11"/>
        <v/>
      </c>
      <c r="X32" s="1" t="str">
        <f t="shared" si="12"/>
        <v/>
      </c>
      <c r="Y32" s="1" t="str">
        <f t="shared" si="13"/>
        <v/>
      </c>
      <c r="Z32" s="1" t="str">
        <f t="shared" si="14"/>
        <v/>
      </c>
      <c r="AA32" s="1" t="str">
        <f t="shared" si="15"/>
        <v/>
      </c>
      <c r="AB32" s="1" t="str">
        <f t="shared" si="16"/>
        <v/>
      </c>
      <c r="AC32" s="1" t="str">
        <f t="shared" si="17"/>
        <v/>
      </c>
      <c r="AD32" s="1">
        <f t="shared" si="18"/>
        <v>205.99968000000001</v>
      </c>
      <c r="AE32" s="1" t="str">
        <f t="shared" si="19"/>
        <v/>
      </c>
      <c r="AF32" s="1" t="str">
        <f t="shared" si="20"/>
        <v/>
      </c>
      <c r="AG32" s="1" t="str">
        <f t="shared" si="21"/>
        <v/>
      </c>
      <c r="AH32" s="1" t="str">
        <f t="shared" si="22"/>
        <v/>
      </c>
      <c r="AI32" s="1" t="str">
        <f t="shared" si="23"/>
        <v/>
      </c>
      <c r="AJ32" s="1" t="str">
        <f t="shared" si="24"/>
        <v/>
      </c>
      <c r="AK32" s="1" t="str">
        <f t="shared" si="25"/>
        <v/>
      </c>
      <c r="AL32" s="1" t="str">
        <f t="shared" si="26"/>
        <v/>
      </c>
      <c r="AM32" s="1" t="str">
        <f t="shared" si="27"/>
        <v/>
      </c>
      <c r="AN32" s="1" t="str">
        <f t="shared" si="28"/>
        <v/>
      </c>
      <c r="AO32" s="1" t="str">
        <f t="shared" si="29"/>
        <v/>
      </c>
      <c r="AP32" s="1" t="str">
        <f t="shared" si="30"/>
        <v/>
      </c>
      <c r="AQ32" s="1" t="str">
        <f t="shared" si="31"/>
        <v/>
      </c>
      <c r="AR32" s="1" t="str">
        <f t="shared" si="32"/>
        <v/>
      </c>
      <c r="AS32" s="1" t="str">
        <f t="shared" si="33"/>
        <v/>
      </c>
      <c r="AT32" s="1" t="str">
        <f t="shared" si="34"/>
        <v/>
      </c>
      <c r="AU32" s="1" t="str">
        <f t="shared" si="35"/>
        <v/>
      </c>
    </row>
    <row r="33" spans="1:47" ht="19" customHeight="1" x14ac:dyDescent="0.3">
      <c r="A33" s="75" t="s">
        <v>64</v>
      </c>
      <c r="B33" s="75"/>
      <c r="C33" s="75"/>
      <c r="D33" s="89">
        <f>持有情况!P40-ROW()*0.00001</f>
        <v>189.99967000000001</v>
      </c>
      <c r="E33" s="89">
        <v>2</v>
      </c>
      <c r="F33" s="89">
        <v>1</v>
      </c>
      <c r="G33" s="89">
        <v>2</v>
      </c>
      <c r="H33" s="89">
        <v>1</v>
      </c>
      <c r="I33" s="84" t="s">
        <v>300</v>
      </c>
      <c r="J33" s="89">
        <f>INT(60+17*路线!B15+22+40)-ROW()*0.00001</f>
        <v>189.99967000000001</v>
      </c>
      <c r="L33" s="1" t="str">
        <f t="shared" si="0"/>
        <v/>
      </c>
      <c r="M33" s="1" t="str">
        <f t="shared" si="1"/>
        <v/>
      </c>
      <c r="N33" s="1" t="str">
        <f t="shared" si="2"/>
        <v/>
      </c>
      <c r="O33" s="1" t="str">
        <f t="shared" si="3"/>
        <v/>
      </c>
      <c r="P33" s="1">
        <f t="shared" si="4"/>
        <v>189.99967000000001</v>
      </c>
      <c r="Q33" s="1" t="str">
        <f t="shared" si="5"/>
        <v/>
      </c>
      <c r="R33" s="1" t="str">
        <f t="shared" si="6"/>
        <v/>
      </c>
      <c r="S33" s="1" t="str">
        <f t="shared" si="7"/>
        <v/>
      </c>
      <c r="T33" s="1" t="str">
        <f t="shared" si="8"/>
        <v/>
      </c>
      <c r="U33" s="1" t="str">
        <f t="shared" si="9"/>
        <v/>
      </c>
      <c r="V33" s="1" t="str">
        <f t="shared" si="10"/>
        <v/>
      </c>
      <c r="W33" s="1" t="str">
        <f t="shared" si="11"/>
        <v/>
      </c>
      <c r="X33" s="1" t="str">
        <f t="shared" si="12"/>
        <v/>
      </c>
      <c r="Y33" s="1">
        <f t="shared" si="13"/>
        <v>189.99967000000001</v>
      </c>
      <c r="Z33" s="1" t="str">
        <f t="shared" si="14"/>
        <v/>
      </c>
      <c r="AA33" s="1" t="str">
        <f t="shared" si="15"/>
        <v/>
      </c>
      <c r="AB33" s="1" t="str">
        <f t="shared" si="16"/>
        <v/>
      </c>
      <c r="AC33" s="1" t="str">
        <f t="shared" si="17"/>
        <v/>
      </c>
      <c r="AD33" s="1" t="str">
        <f t="shared" si="18"/>
        <v/>
      </c>
      <c r="AE33" s="1" t="str">
        <f t="shared" si="19"/>
        <v/>
      </c>
      <c r="AF33" s="1" t="str">
        <f t="shared" si="20"/>
        <v/>
      </c>
      <c r="AG33" s="1" t="str">
        <f t="shared" si="21"/>
        <v/>
      </c>
      <c r="AH33" s="1" t="str">
        <f t="shared" si="22"/>
        <v/>
      </c>
      <c r="AI33" s="1" t="str">
        <f t="shared" si="23"/>
        <v/>
      </c>
      <c r="AJ33" s="1" t="str">
        <f t="shared" si="24"/>
        <v/>
      </c>
      <c r="AK33" s="1" t="str">
        <f t="shared" si="25"/>
        <v/>
      </c>
      <c r="AL33" s="1" t="str">
        <f t="shared" si="26"/>
        <v/>
      </c>
      <c r="AM33" s="1" t="str">
        <f t="shared" si="27"/>
        <v/>
      </c>
      <c r="AN33" s="1">
        <f t="shared" si="28"/>
        <v>189.99967000000001</v>
      </c>
      <c r="AO33" s="1" t="str">
        <f t="shared" si="29"/>
        <v/>
      </c>
      <c r="AP33" s="1" t="str">
        <f t="shared" si="30"/>
        <v/>
      </c>
      <c r="AQ33" s="1" t="str">
        <f t="shared" si="31"/>
        <v/>
      </c>
      <c r="AR33" s="1" t="str">
        <f t="shared" si="32"/>
        <v/>
      </c>
      <c r="AS33" s="1" t="str">
        <f t="shared" si="33"/>
        <v/>
      </c>
      <c r="AT33" s="1" t="str">
        <f t="shared" si="34"/>
        <v/>
      </c>
      <c r="AU33" s="1" t="str">
        <f t="shared" si="35"/>
        <v/>
      </c>
    </row>
    <row r="34" spans="1:47" ht="19" customHeight="1" x14ac:dyDescent="0.3">
      <c r="A34" s="75" t="s">
        <v>42</v>
      </c>
      <c r="B34" s="75"/>
      <c r="C34" s="75"/>
      <c r="D34" s="89">
        <f>持有情况!P22-ROW()*0.00001</f>
        <v>203.99966000000001</v>
      </c>
      <c r="E34" s="90">
        <v>0</v>
      </c>
      <c r="F34" s="89">
        <v>1</v>
      </c>
      <c r="G34" s="89">
        <v>2</v>
      </c>
      <c r="H34" s="89">
        <v>1</v>
      </c>
      <c r="I34" s="84" t="s">
        <v>301</v>
      </c>
      <c r="J34" s="89">
        <f>IF(路线!C6="计算",INT(60+17*路线!B15+4*(路线!B28+路线!B29)+40+20)-ROW()*0.00001,INT(60+17*路线!B15+4*(路线!B28+路线!B29)+40)-ROW()*0.00001)</f>
        <v>203.99966000000001</v>
      </c>
      <c r="L34" s="1" t="str">
        <f t="shared" ref="L34:L65" si="36">IF(AND(OR(E34=1,E34=0),G34=1),D34,"")</f>
        <v/>
      </c>
      <c r="M34" s="1" t="str">
        <f t="shared" ref="M34:M65" si="37">IF(AND(OR(E34=2,E34=0),G34=1),D34,"")</f>
        <v/>
      </c>
      <c r="N34" s="1" t="str">
        <f t="shared" ref="N34:N65" si="38">IF(AND(OR(E34=3,E34=0),G34=1),D34,"")</f>
        <v/>
      </c>
      <c r="O34" s="1">
        <f t="shared" ref="O34:O65" si="39">IF(AND(OR(E34=1,E34=0),G34=2),D34,"")</f>
        <v>203.99966000000001</v>
      </c>
      <c r="P34" s="1">
        <f t="shared" ref="P34:P65" si="40">IF(AND(OR(E34=2,E34=0),G34=2),D34,"")</f>
        <v>203.99966000000001</v>
      </c>
      <c r="Q34" s="1">
        <f t="shared" ref="Q34:Q65" si="41">IF(AND(OR(E34=3,E34=0),G34=2),D34,"")</f>
        <v>203.99966000000001</v>
      </c>
      <c r="R34" s="1" t="str">
        <f t="shared" ref="R34:R65" si="42">IF(AND(OR(E34=1,E34=0),G34=3),D34,"")</f>
        <v/>
      </c>
      <c r="S34" s="1" t="str">
        <f t="shared" ref="S34:S65" si="43">IF(AND(OR(E34=2,E34=0),G34=3),D34,"")</f>
        <v/>
      </c>
      <c r="T34" s="1" t="str">
        <f t="shared" ref="T34:T65" si="44">IF(AND(OR(E34=3,E34=0),G34=3),D34,"")</f>
        <v/>
      </c>
      <c r="U34" s="1" t="str">
        <f t="shared" ref="U34:U65" si="45">IF(AND(OR(E34=1,E34=0),G34=1,F34=1),D34,"")</f>
        <v/>
      </c>
      <c r="V34" s="1">
        <f t="shared" ref="V34:V65" si="46">IF(AND(OR(E34=1,E34=0),G34=2,F34=1),D34,"")</f>
        <v>203.99966000000001</v>
      </c>
      <c r="W34" s="1" t="str">
        <f t="shared" ref="W34:W65" si="47">IF(AND(OR(E34=1,E34=0),G34=3,F34=1),D34,"")</f>
        <v/>
      </c>
      <c r="X34" s="1" t="str">
        <f t="shared" ref="X34:X65" si="48">IF(AND(OR(E34=2,E34=0),G34=1,F34=1),D34,"")</f>
        <v/>
      </c>
      <c r="Y34" s="1">
        <f t="shared" ref="Y34:Y65" si="49">IF(AND(OR(E34=2,E34=0),G34=2,F34=1),D34,"")</f>
        <v>203.99966000000001</v>
      </c>
      <c r="Z34" s="1" t="str">
        <f t="shared" ref="Z34:Z65" si="50">IF(AND(OR(E34=2,E34=0),G34=3,F34=1),D34,"")</f>
        <v/>
      </c>
      <c r="AA34" s="1" t="str">
        <f t="shared" ref="AA34:AA65" si="51">IF(AND(OR(E34=3,E34=0),G34=1,F34=1),D34,"")</f>
        <v/>
      </c>
      <c r="AB34" s="1">
        <f t="shared" ref="AB34:AB65" si="52">IF(AND(OR(E34=3,E34=0),G34=2,F34=1),D34,"")</f>
        <v>203.99966000000001</v>
      </c>
      <c r="AC34" s="1" t="str">
        <f t="shared" ref="AC34:AC65" si="53">IF(AND(OR(E34=3,E34=0),G34=3,F34=1),D34,"")</f>
        <v/>
      </c>
      <c r="AD34" s="1" t="str">
        <f t="shared" ref="AD34:AD65" si="54">IF(AND(OR(E34=1,E34=0),G34=1,F34=0),J34,"")</f>
        <v/>
      </c>
      <c r="AE34" s="1" t="str">
        <f t="shared" ref="AE34:AE65" si="55">IF(AND(OR(E34=1,E34=0),G34=2,F34=0),J34,"")</f>
        <v/>
      </c>
      <c r="AF34" s="1" t="str">
        <f t="shared" ref="AF34:AF65" si="56">IF(AND(OR(E34=1,E34=0),G34=3,F34=0),J34,"")</f>
        <v/>
      </c>
      <c r="AG34" s="1" t="str">
        <f t="shared" ref="AG34:AG65" si="57">IF(AND(OR(E34=1,E34=0),G34=1,F34=1),J34,"")</f>
        <v/>
      </c>
      <c r="AH34" s="1">
        <f t="shared" ref="AH34:AH65" si="58">IF(AND(OR(E34=1,E34=0),G34=2,F34=1),J34,"")</f>
        <v>203.99966000000001</v>
      </c>
      <c r="AI34" s="1" t="str">
        <f t="shared" ref="AI34:AI65" si="59">IF(AND(OR(E34=1,E34=0),G34=3,F34=1),J34,"")</f>
        <v/>
      </c>
      <c r="AJ34" s="1" t="str">
        <f t="shared" ref="AJ34:AJ65" si="60">IF(AND(OR(E34=2,E34=0),G34=1,F34=0),J34,"")</f>
        <v/>
      </c>
      <c r="AK34" s="1" t="str">
        <f t="shared" ref="AK34:AK65" si="61">IF(AND(OR(E34=2,E34=0),G34=2,F34=0),J34,"")</f>
        <v/>
      </c>
      <c r="AL34" s="1" t="str">
        <f t="shared" ref="AL34:AL65" si="62">IF(AND(OR(E34=2,E34=0),G34=3,F34=0),J34,"")</f>
        <v/>
      </c>
      <c r="AM34" s="1" t="str">
        <f t="shared" ref="AM34:AM65" si="63">IF(AND(OR(E34=2,E34=0),G34=1,F34=1),J34,"")</f>
        <v/>
      </c>
      <c r="AN34" s="1">
        <f t="shared" ref="AN34:AN65" si="64">IF(AND(OR(E34=2,E34=0),G34=2,F34=1),J34,"")</f>
        <v>203.99966000000001</v>
      </c>
      <c r="AO34" s="1" t="str">
        <f t="shared" ref="AO34:AO65" si="65">IF(AND(OR(E34=2,E34=0),G34=3,F34=1),J34,"")</f>
        <v/>
      </c>
      <c r="AP34" s="1" t="str">
        <f t="shared" ref="AP34:AP65" si="66">IF(AND(OR(E34=3,E34=0),G34=1,F34=0),J34,"")</f>
        <v/>
      </c>
      <c r="AQ34" s="1" t="str">
        <f t="shared" ref="AQ34:AQ65" si="67">IF(AND(OR(E34=3,E34=0),G34=2,F34=0),J34,"")</f>
        <v/>
      </c>
      <c r="AR34" s="1" t="str">
        <f t="shared" ref="AR34:AR65" si="68">IF(AND(OR(E34=3,E34=0),G34=3,F34=0),J34,"")</f>
        <v/>
      </c>
      <c r="AS34" s="1" t="str">
        <f t="shared" ref="AS34:AS65" si="69">IF(AND(OR(E34=3,E34=0),G34=1,F34=1),J34,"")</f>
        <v/>
      </c>
      <c r="AT34" s="1">
        <f t="shared" ref="AT34:AT65" si="70">IF(AND(OR(E34=3,E34=0),G34=2,F34=1),J34,"")</f>
        <v>203.99966000000001</v>
      </c>
      <c r="AU34" s="1" t="str">
        <f t="shared" ref="AU34:AU65" si="71">IF(AND(OR(E34=3,E34=0),G34=3,F34=1),J34,"")</f>
        <v/>
      </c>
    </row>
    <row r="35" spans="1:47" ht="19" customHeight="1" x14ac:dyDescent="0.3">
      <c r="A35" s="57" t="s">
        <v>33</v>
      </c>
      <c r="B35" s="57"/>
      <c r="C35" s="57"/>
      <c r="D35" s="89">
        <f>IF(路线!B4="计算",持有情况!AM16,持有情况!AJ16)-ROW()*0.00001</f>
        <v>161.99965</v>
      </c>
      <c r="E35" s="90">
        <v>0</v>
      </c>
      <c r="F35" s="90">
        <v>0</v>
      </c>
      <c r="G35" s="89">
        <v>1</v>
      </c>
      <c r="H35" s="90">
        <v>0</v>
      </c>
      <c r="I35" s="1"/>
      <c r="J35" s="89">
        <f>IF(路线!B4="计算",INT(45+5*路线!B30+13*路线!B16+30+持有情况!AM15),INT(45+5*路线!B30+13*路线!B16+30))-ROW()*0.00001</f>
        <v>161.99965</v>
      </c>
      <c r="L35" s="1">
        <f t="shared" si="36"/>
        <v>161.99965</v>
      </c>
      <c r="M35" s="1">
        <f t="shared" si="37"/>
        <v>161.99965</v>
      </c>
      <c r="N35" s="1">
        <f t="shared" si="38"/>
        <v>161.99965</v>
      </c>
      <c r="O35" s="1" t="str">
        <f t="shared" si="39"/>
        <v/>
      </c>
      <c r="P35" s="1" t="str">
        <f t="shared" si="40"/>
        <v/>
      </c>
      <c r="Q35" s="1" t="str">
        <f t="shared" si="41"/>
        <v/>
      </c>
      <c r="R35" s="1" t="str">
        <f t="shared" si="42"/>
        <v/>
      </c>
      <c r="S35" s="1" t="str">
        <f t="shared" si="43"/>
        <v/>
      </c>
      <c r="T35" s="1" t="str">
        <f t="shared" si="44"/>
        <v/>
      </c>
      <c r="U35" s="1" t="str">
        <f t="shared" si="45"/>
        <v/>
      </c>
      <c r="V35" s="1" t="str">
        <f t="shared" si="46"/>
        <v/>
      </c>
      <c r="W35" s="1" t="str">
        <f t="shared" si="47"/>
        <v/>
      </c>
      <c r="X35" s="1" t="str">
        <f t="shared" si="48"/>
        <v/>
      </c>
      <c r="Y35" s="1" t="str">
        <f t="shared" si="49"/>
        <v/>
      </c>
      <c r="Z35" s="1" t="str">
        <f t="shared" si="50"/>
        <v/>
      </c>
      <c r="AA35" s="1" t="str">
        <f t="shared" si="51"/>
        <v/>
      </c>
      <c r="AB35" s="1" t="str">
        <f t="shared" si="52"/>
        <v/>
      </c>
      <c r="AC35" s="1" t="str">
        <f t="shared" si="53"/>
        <v/>
      </c>
      <c r="AD35" s="1">
        <f t="shared" si="54"/>
        <v>161.99965</v>
      </c>
      <c r="AE35" s="1" t="str">
        <f t="shared" si="55"/>
        <v/>
      </c>
      <c r="AF35" s="1" t="str">
        <f t="shared" si="56"/>
        <v/>
      </c>
      <c r="AG35" s="1" t="str">
        <f t="shared" si="57"/>
        <v/>
      </c>
      <c r="AH35" s="1" t="str">
        <f t="shared" si="58"/>
        <v/>
      </c>
      <c r="AI35" s="1" t="str">
        <f t="shared" si="59"/>
        <v/>
      </c>
      <c r="AJ35" s="1">
        <f t="shared" si="60"/>
        <v>161.99965</v>
      </c>
      <c r="AK35" s="1" t="str">
        <f t="shared" si="61"/>
        <v/>
      </c>
      <c r="AL35" s="1" t="str">
        <f t="shared" si="62"/>
        <v/>
      </c>
      <c r="AM35" s="1" t="str">
        <f t="shared" si="63"/>
        <v/>
      </c>
      <c r="AN35" s="1" t="str">
        <f t="shared" si="64"/>
        <v/>
      </c>
      <c r="AO35" s="1" t="str">
        <f t="shared" si="65"/>
        <v/>
      </c>
      <c r="AP35" s="1">
        <f t="shared" si="66"/>
        <v>161.99965</v>
      </c>
      <c r="AQ35" s="1" t="str">
        <f t="shared" si="67"/>
        <v/>
      </c>
      <c r="AR35" s="1" t="str">
        <f t="shared" si="68"/>
        <v/>
      </c>
      <c r="AS35" s="1" t="str">
        <f t="shared" si="69"/>
        <v/>
      </c>
      <c r="AT35" s="1" t="str">
        <f t="shared" si="70"/>
        <v/>
      </c>
      <c r="AU35" s="1" t="str">
        <f t="shared" si="71"/>
        <v/>
      </c>
    </row>
    <row r="36" spans="1:47" ht="19" customHeight="1" x14ac:dyDescent="0.3">
      <c r="A36" s="75" t="s">
        <v>27</v>
      </c>
      <c r="B36" s="75"/>
      <c r="C36" s="75"/>
      <c r="D36" s="89">
        <f>IF(路线!B4="计算",持有情况!AW10,持有情况!AT10)-ROW()*0.00001</f>
        <v>161.99964</v>
      </c>
      <c r="E36" s="90">
        <v>0</v>
      </c>
      <c r="F36" s="90">
        <v>0</v>
      </c>
      <c r="G36" s="89">
        <v>2</v>
      </c>
      <c r="H36" s="90">
        <v>0</v>
      </c>
      <c r="I36" s="1"/>
      <c r="J36" s="89">
        <f>IF(路线!B4="计算",INT(45+5*路线!B30+13*路线!B16+30+持有情况!AM15),INT(45+5*路线!B30+13*路线!B16+30))-ROW()*0.00001</f>
        <v>161.99964</v>
      </c>
      <c r="L36" s="1" t="str">
        <f t="shared" si="36"/>
        <v/>
      </c>
      <c r="M36" s="1" t="str">
        <f t="shared" si="37"/>
        <v/>
      </c>
      <c r="N36" s="1" t="str">
        <f t="shared" si="38"/>
        <v/>
      </c>
      <c r="O36" s="1">
        <f t="shared" si="39"/>
        <v>161.99964</v>
      </c>
      <c r="P36" s="1">
        <f t="shared" si="40"/>
        <v>161.99964</v>
      </c>
      <c r="Q36" s="1">
        <f t="shared" si="41"/>
        <v>161.99964</v>
      </c>
      <c r="R36" s="1" t="str">
        <f t="shared" si="42"/>
        <v/>
      </c>
      <c r="S36" s="1" t="str">
        <f t="shared" si="43"/>
        <v/>
      </c>
      <c r="T36" s="1" t="str">
        <f t="shared" si="44"/>
        <v/>
      </c>
      <c r="U36" s="1" t="str">
        <f t="shared" si="45"/>
        <v/>
      </c>
      <c r="V36" s="1" t="str">
        <f t="shared" si="46"/>
        <v/>
      </c>
      <c r="W36" s="1" t="str">
        <f t="shared" si="47"/>
        <v/>
      </c>
      <c r="X36" s="1" t="str">
        <f t="shared" si="48"/>
        <v/>
      </c>
      <c r="Y36" s="1" t="str">
        <f t="shared" si="49"/>
        <v/>
      </c>
      <c r="Z36" s="1" t="str">
        <f t="shared" si="50"/>
        <v/>
      </c>
      <c r="AA36" s="1" t="str">
        <f t="shared" si="51"/>
        <v/>
      </c>
      <c r="AB36" s="1" t="str">
        <f t="shared" si="52"/>
        <v/>
      </c>
      <c r="AC36" s="1" t="str">
        <f t="shared" si="53"/>
        <v/>
      </c>
      <c r="AD36" s="1" t="str">
        <f t="shared" si="54"/>
        <v/>
      </c>
      <c r="AE36" s="1">
        <f t="shared" si="55"/>
        <v>161.99964</v>
      </c>
      <c r="AF36" s="1" t="str">
        <f t="shared" si="56"/>
        <v/>
      </c>
      <c r="AG36" s="1" t="str">
        <f t="shared" si="57"/>
        <v/>
      </c>
      <c r="AH36" s="1" t="str">
        <f t="shared" si="58"/>
        <v/>
      </c>
      <c r="AI36" s="1" t="str">
        <f t="shared" si="59"/>
        <v/>
      </c>
      <c r="AJ36" s="1" t="str">
        <f t="shared" si="60"/>
        <v/>
      </c>
      <c r="AK36" s="1">
        <f t="shared" si="61"/>
        <v>161.99964</v>
      </c>
      <c r="AL36" s="1" t="str">
        <f t="shared" si="62"/>
        <v/>
      </c>
      <c r="AM36" s="1" t="str">
        <f t="shared" si="63"/>
        <v/>
      </c>
      <c r="AN36" s="1" t="str">
        <f t="shared" si="64"/>
        <v/>
      </c>
      <c r="AO36" s="1" t="str">
        <f t="shared" si="65"/>
        <v/>
      </c>
      <c r="AP36" s="1" t="str">
        <f t="shared" si="66"/>
        <v/>
      </c>
      <c r="AQ36" s="1">
        <f t="shared" si="67"/>
        <v>161.99964</v>
      </c>
      <c r="AR36" s="1" t="str">
        <f t="shared" si="68"/>
        <v/>
      </c>
      <c r="AS36" s="1" t="str">
        <f t="shared" si="69"/>
        <v/>
      </c>
      <c r="AT36" s="1" t="str">
        <f t="shared" si="70"/>
        <v/>
      </c>
      <c r="AU36" s="1" t="str">
        <f t="shared" si="71"/>
        <v/>
      </c>
    </row>
    <row r="37" spans="1:47" ht="19" customHeight="1" x14ac:dyDescent="0.3">
      <c r="A37" s="57" t="s">
        <v>112</v>
      </c>
      <c r="B37" s="57"/>
      <c r="C37" s="57"/>
      <c r="D37" s="89">
        <f>持有情况!F82-ROW()*0.00001</f>
        <v>115.99963</v>
      </c>
      <c r="E37" s="89">
        <v>3</v>
      </c>
      <c r="F37" s="89">
        <v>1</v>
      </c>
      <c r="G37" s="89">
        <v>1</v>
      </c>
      <c r="H37" s="90">
        <v>0</v>
      </c>
      <c r="I37" s="1"/>
      <c r="J37" s="89">
        <f>INT((8.5/100)*路线!B11+15*路线!B31+40)-ROW()*0.00001</f>
        <v>115.99963</v>
      </c>
      <c r="L37" s="1" t="str">
        <f t="shared" si="36"/>
        <v/>
      </c>
      <c r="M37" s="1" t="str">
        <f t="shared" si="37"/>
        <v/>
      </c>
      <c r="N37" s="1">
        <f t="shared" si="38"/>
        <v>115.99963</v>
      </c>
      <c r="O37" s="1" t="str">
        <f t="shared" si="39"/>
        <v/>
      </c>
      <c r="P37" s="1" t="str">
        <f t="shared" si="40"/>
        <v/>
      </c>
      <c r="Q37" s="1" t="str">
        <f t="shared" si="41"/>
        <v/>
      </c>
      <c r="R37" s="1" t="str">
        <f t="shared" si="42"/>
        <v/>
      </c>
      <c r="S37" s="1" t="str">
        <f t="shared" si="43"/>
        <v/>
      </c>
      <c r="T37" s="1" t="str">
        <f t="shared" si="44"/>
        <v/>
      </c>
      <c r="U37" s="1" t="str">
        <f t="shared" si="45"/>
        <v/>
      </c>
      <c r="V37" s="1" t="str">
        <f t="shared" si="46"/>
        <v/>
      </c>
      <c r="W37" s="1" t="str">
        <f t="shared" si="47"/>
        <v/>
      </c>
      <c r="X37" s="1" t="str">
        <f t="shared" si="48"/>
        <v/>
      </c>
      <c r="Y37" s="1" t="str">
        <f t="shared" si="49"/>
        <v/>
      </c>
      <c r="Z37" s="1" t="str">
        <f t="shared" si="50"/>
        <v/>
      </c>
      <c r="AA37" s="1">
        <f t="shared" si="51"/>
        <v>115.99963</v>
      </c>
      <c r="AB37" s="1" t="str">
        <f t="shared" si="52"/>
        <v/>
      </c>
      <c r="AC37" s="1" t="str">
        <f t="shared" si="53"/>
        <v/>
      </c>
      <c r="AD37" s="1" t="str">
        <f t="shared" si="54"/>
        <v/>
      </c>
      <c r="AE37" s="1" t="str">
        <f t="shared" si="55"/>
        <v/>
      </c>
      <c r="AF37" s="1" t="str">
        <f t="shared" si="56"/>
        <v/>
      </c>
      <c r="AG37" s="1" t="str">
        <f t="shared" si="57"/>
        <v/>
      </c>
      <c r="AH37" s="1" t="str">
        <f t="shared" si="58"/>
        <v/>
      </c>
      <c r="AI37" s="1" t="str">
        <f t="shared" si="59"/>
        <v/>
      </c>
      <c r="AJ37" s="1" t="str">
        <f t="shared" si="60"/>
        <v/>
      </c>
      <c r="AK37" s="1" t="str">
        <f t="shared" si="61"/>
        <v/>
      </c>
      <c r="AL37" s="1" t="str">
        <f t="shared" si="62"/>
        <v/>
      </c>
      <c r="AM37" s="1" t="str">
        <f t="shared" si="63"/>
        <v/>
      </c>
      <c r="AN37" s="1" t="str">
        <f t="shared" si="64"/>
        <v/>
      </c>
      <c r="AO37" s="1" t="str">
        <f t="shared" si="65"/>
        <v/>
      </c>
      <c r="AP37" s="1" t="str">
        <f t="shared" si="66"/>
        <v/>
      </c>
      <c r="AQ37" s="1" t="str">
        <f t="shared" si="67"/>
        <v/>
      </c>
      <c r="AR37" s="1" t="str">
        <f t="shared" si="68"/>
        <v/>
      </c>
      <c r="AS37" s="1">
        <f t="shared" si="69"/>
        <v>115.99963</v>
      </c>
      <c r="AT37" s="1" t="str">
        <f t="shared" si="70"/>
        <v/>
      </c>
      <c r="AU37" s="1" t="str">
        <f t="shared" si="71"/>
        <v/>
      </c>
    </row>
    <row r="38" spans="1:47" ht="19" customHeight="1" x14ac:dyDescent="0.3">
      <c r="A38" s="75" t="s">
        <v>56</v>
      </c>
      <c r="B38" s="75"/>
      <c r="C38" s="75"/>
      <c r="D38" s="89">
        <f>持有情况!P34-ROW()*0.00001</f>
        <v>159.99961999999999</v>
      </c>
      <c r="E38" s="90">
        <v>0</v>
      </c>
      <c r="F38" s="90">
        <v>0</v>
      </c>
      <c r="G38" s="89">
        <v>2</v>
      </c>
      <c r="H38" s="89">
        <v>1</v>
      </c>
      <c r="I38" s="84" t="s">
        <v>302</v>
      </c>
      <c r="J38" s="89">
        <f>INT((8.5/100)*路线!B11+22*路线!B32+15*路线!B31+40)-ROW()*0.00001</f>
        <v>159.99961999999999</v>
      </c>
      <c r="L38" s="1" t="str">
        <f t="shared" si="36"/>
        <v/>
      </c>
      <c r="M38" s="1" t="str">
        <f t="shared" si="37"/>
        <v/>
      </c>
      <c r="N38" s="1" t="str">
        <f t="shared" si="38"/>
        <v/>
      </c>
      <c r="O38" s="1">
        <f t="shared" si="39"/>
        <v>159.99961999999999</v>
      </c>
      <c r="P38" s="1">
        <f t="shared" si="40"/>
        <v>159.99961999999999</v>
      </c>
      <c r="Q38" s="1">
        <f t="shared" si="41"/>
        <v>159.99961999999999</v>
      </c>
      <c r="R38" s="1" t="str">
        <f t="shared" si="42"/>
        <v/>
      </c>
      <c r="S38" s="1" t="str">
        <f t="shared" si="43"/>
        <v/>
      </c>
      <c r="T38" s="1" t="str">
        <f t="shared" si="44"/>
        <v/>
      </c>
      <c r="U38" s="1" t="str">
        <f t="shared" si="45"/>
        <v/>
      </c>
      <c r="V38" s="1" t="str">
        <f t="shared" si="46"/>
        <v/>
      </c>
      <c r="W38" s="1" t="str">
        <f t="shared" si="47"/>
        <v/>
      </c>
      <c r="X38" s="1" t="str">
        <f t="shared" si="48"/>
        <v/>
      </c>
      <c r="Y38" s="1" t="str">
        <f t="shared" si="49"/>
        <v/>
      </c>
      <c r="Z38" s="1" t="str">
        <f t="shared" si="50"/>
        <v/>
      </c>
      <c r="AA38" s="1" t="str">
        <f t="shared" si="51"/>
        <v/>
      </c>
      <c r="AB38" s="1" t="str">
        <f t="shared" si="52"/>
        <v/>
      </c>
      <c r="AC38" s="1" t="str">
        <f t="shared" si="53"/>
        <v/>
      </c>
      <c r="AD38" s="1" t="str">
        <f t="shared" si="54"/>
        <v/>
      </c>
      <c r="AE38" s="1">
        <f t="shared" si="55"/>
        <v>159.99961999999999</v>
      </c>
      <c r="AF38" s="1" t="str">
        <f t="shared" si="56"/>
        <v/>
      </c>
      <c r="AG38" s="1" t="str">
        <f t="shared" si="57"/>
        <v/>
      </c>
      <c r="AH38" s="1" t="str">
        <f t="shared" si="58"/>
        <v/>
      </c>
      <c r="AI38" s="1" t="str">
        <f t="shared" si="59"/>
        <v/>
      </c>
      <c r="AJ38" s="1" t="str">
        <f t="shared" si="60"/>
        <v/>
      </c>
      <c r="AK38" s="1">
        <f t="shared" si="61"/>
        <v>159.99961999999999</v>
      </c>
      <c r="AL38" s="1" t="str">
        <f t="shared" si="62"/>
        <v/>
      </c>
      <c r="AM38" s="1" t="str">
        <f t="shared" si="63"/>
        <v/>
      </c>
      <c r="AN38" s="1" t="str">
        <f t="shared" si="64"/>
        <v/>
      </c>
      <c r="AO38" s="1" t="str">
        <f t="shared" si="65"/>
        <v/>
      </c>
      <c r="AP38" s="1" t="str">
        <f t="shared" si="66"/>
        <v/>
      </c>
      <c r="AQ38" s="1">
        <f t="shared" si="67"/>
        <v>159.99961999999999</v>
      </c>
      <c r="AR38" s="1" t="str">
        <f t="shared" si="68"/>
        <v/>
      </c>
      <c r="AS38" s="1" t="str">
        <f t="shared" si="69"/>
        <v/>
      </c>
      <c r="AT38" s="1" t="str">
        <f t="shared" si="70"/>
        <v/>
      </c>
      <c r="AU38" s="1" t="str">
        <f t="shared" si="71"/>
        <v/>
      </c>
    </row>
    <row r="39" spans="1:47" ht="19" customHeight="1" x14ac:dyDescent="0.3">
      <c r="A39" s="75" t="s">
        <v>110</v>
      </c>
      <c r="B39" s="75"/>
      <c r="C39" s="75"/>
      <c r="D39" s="89">
        <f>IF(路线!B4="计算",持有情况!AW76,持有情况!AT76)-ROW()*0.00001</f>
        <v>203.99960999999999</v>
      </c>
      <c r="E39" s="89">
        <v>2</v>
      </c>
      <c r="F39" s="89">
        <v>1</v>
      </c>
      <c r="G39" s="89">
        <v>2</v>
      </c>
      <c r="H39" s="90">
        <v>0</v>
      </c>
      <c r="I39" s="1"/>
      <c r="J39" s="89">
        <f>IF(路线!B4="计算",INT(45+17+13*路线!B15+30+持有情况!AW75),INT(45+17+13*路线!B15+30))-ROW()*0.00001</f>
        <v>203.99960999999999</v>
      </c>
      <c r="L39" s="1" t="str">
        <f t="shared" si="36"/>
        <v/>
      </c>
      <c r="M39" s="1" t="str">
        <f t="shared" si="37"/>
        <v/>
      </c>
      <c r="N39" s="1" t="str">
        <f t="shared" si="38"/>
        <v/>
      </c>
      <c r="O39" s="1" t="str">
        <f t="shared" si="39"/>
        <v/>
      </c>
      <c r="P39" s="1">
        <f t="shared" si="40"/>
        <v>203.99960999999999</v>
      </c>
      <c r="Q39" s="1" t="str">
        <f t="shared" si="41"/>
        <v/>
      </c>
      <c r="R39" s="1" t="str">
        <f t="shared" si="42"/>
        <v/>
      </c>
      <c r="S39" s="1" t="str">
        <f t="shared" si="43"/>
        <v/>
      </c>
      <c r="T39" s="1" t="str">
        <f t="shared" si="44"/>
        <v/>
      </c>
      <c r="U39" s="1" t="str">
        <f t="shared" si="45"/>
        <v/>
      </c>
      <c r="V39" s="1" t="str">
        <f t="shared" si="46"/>
        <v/>
      </c>
      <c r="W39" s="1" t="str">
        <f t="shared" si="47"/>
        <v/>
      </c>
      <c r="X39" s="1" t="str">
        <f t="shared" si="48"/>
        <v/>
      </c>
      <c r="Y39" s="1">
        <f t="shared" si="49"/>
        <v>203.99960999999999</v>
      </c>
      <c r="Z39" s="1" t="str">
        <f t="shared" si="50"/>
        <v/>
      </c>
      <c r="AA39" s="1" t="str">
        <f t="shared" si="51"/>
        <v/>
      </c>
      <c r="AB39" s="1" t="str">
        <f t="shared" si="52"/>
        <v/>
      </c>
      <c r="AC39" s="1" t="str">
        <f t="shared" si="53"/>
        <v/>
      </c>
      <c r="AD39" s="1" t="str">
        <f t="shared" si="54"/>
        <v/>
      </c>
      <c r="AE39" s="1" t="str">
        <f t="shared" si="55"/>
        <v/>
      </c>
      <c r="AF39" s="1" t="str">
        <f t="shared" si="56"/>
        <v/>
      </c>
      <c r="AG39" s="1" t="str">
        <f t="shared" si="57"/>
        <v/>
      </c>
      <c r="AH39" s="1" t="str">
        <f t="shared" si="58"/>
        <v/>
      </c>
      <c r="AI39" s="1" t="str">
        <f t="shared" si="59"/>
        <v/>
      </c>
      <c r="AJ39" s="1" t="str">
        <f t="shared" si="60"/>
        <v/>
      </c>
      <c r="AK39" s="1" t="str">
        <f t="shared" si="61"/>
        <v/>
      </c>
      <c r="AL39" s="1" t="str">
        <f t="shared" si="62"/>
        <v/>
      </c>
      <c r="AM39" s="1" t="str">
        <f t="shared" si="63"/>
        <v/>
      </c>
      <c r="AN39" s="1">
        <f t="shared" si="64"/>
        <v>203.99960999999999</v>
      </c>
      <c r="AO39" s="1" t="str">
        <f t="shared" si="65"/>
        <v/>
      </c>
      <c r="AP39" s="1" t="str">
        <f t="shared" si="66"/>
        <v/>
      </c>
      <c r="AQ39" s="1" t="str">
        <f t="shared" si="67"/>
        <v/>
      </c>
      <c r="AR39" s="1" t="str">
        <f t="shared" si="68"/>
        <v/>
      </c>
      <c r="AS39" s="1" t="str">
        <f t="shared" si="69"/>
        <v/>
      </c>
      <c r="AT39" s="1" t="str">
        <f t="shared" si="70"/>
        <v/>
      </c>
      <c r="AU39" s="1" t="str">
        <f t="shared" si="71"/>
        <v/>
      </c>
    </row>
    <row r="40" spans="1:47" ht="19" customHeight="1" x14ac:dyDescent="0.3">
      <c r="A40" s="67" t="s">
        <v>61</v>
      </c>
      <c r="B40" s="67"/>
      <c r="C40" s="67"/>
      <c r="D40" s="89">
        <f>IF(路线!B4="计算",持有情况!BG34,持有情况!BD34)-ROW()*0.00001</f>
        <v>230.99959999999999</v>
      </c>
      <c r="E40" s="89">
        <v>2</v>
      </c>
      <c r="F40" s="90">
        <v>0</v>
      </c>
      <c r="G40" s="89">
        <v>3</v>
      </c>
      <c r="H40" s="90">
        <v>0</v>
      </c>
      <c r="I40" s="1"/>
      <c r="J40" s="89">
        <f>IF(路线!B4="计算",INT((6.4/100)*路线!B11+8*路线!B33+13*路线!B15+30+持有情况!BG33),INT((6.4/100)*路线!B11+8*路线!B33+13*路线!B15+30))-ROW()*0.00001</f>
        <v>230.99959999999999</v>
      </c>
      <c r="L40" s="1" t="str">
        <f t="shared" si="36"/>
        <v/>
      </c>
      <c r="M40" s="1" t="str">
        <f t="shared" si="37"/>
        <v/>
      </c>
      <c r="N40" s="1" t="str">
        <f t="shared" si="38"/>
        <v/>
      </c>
      <c r="O40" s="1" t="str">
        <f t="shared" si="39"/>
        <v/>
      </c>
      <c r="P40" s="1" t="str">
        <f t="shared" si="40"/>
        <v/>
      </c>
      <c r="Q40" s="1" t="str">
        <f t="shared" si="41"/>
        <v/>
      </c>
      <c r="R40" s="1" t="str">
        <f t="shared" si="42"/>
        <v/>
      </c>
      <c r="S40" s="1">
        <f t="shared" si="43"/>
        <v>230.99959999999999</v>
      </c>
      <c r="T40" s="1" t="str">
        <f t="shared" si="44"/>
        <v/>
      </c>
      <c r="U40" s="1" t="str">
        <f t="shared" si="45"/>
        <v/>
      </c>
      <c r="V40" s="1" t="str">
        <f t="shared" si="46"/>
        <v/>
      </c>
      <c r="W40" s="1" t="str">
        <f t="shared" si="47"/>
        <v/>
      </c>
      <c r="X40" s="1" t="str">
        <f t="shared" si="48"/>
        <v/>
      </c>
      <c r="Y40" s="1" t="str">
        <f t="shared" si="49"/>
        <v/>
      </c>
      <c r="Z40" s="1" t="str">
        <f t="shared" si="50"/>
        <v/>
      </c>
      <c r="AA40" s="1" t="str">
        <f t="shared" si="51"/>
        <v/>
      </c>
      <c r="AB40" s="1" t="str">
        <f t="shared" si="52"/>
        <v/>
      </c>
      <c r="AC40" s="1" t="str">
        <f t="shared" si="53"/>
        <v/>
      </c>
      <c r="AD40" s="1" t="str">
        <f t="shared" si="54"/>
        <v/>
      </c>
      <c r="AE40" s="1" t="str">
        <f t="shared" si="55"/>
        <v/>
      </c>
      <c r="AF40" s="1" t="str">
        <f t="shared" si="56"/>
        <v/>
      </c>
      <c r="AG40" s="1" t="str">
        <f t="shared" si="57"/>
        <v/>
      </c>
      <c r="AH40" s="1" t="str">
        <f t="shared" si="58"/>
        <v/>
      </c>
      <c r="AI40" s="1" t="str">
        <f t="shared" si="59"/>
        <v/>
      </c>
      <c r="AJ40" s="1" t="str">
        <f t="shared" si="60"/>
        <v/>
      </c>
      <c r="AK40" s="1" t="str">
        <f t="shared" si="61"/>
        <v/>
      </c>
      <c r="AL40" s="1">
        <f t="shared" si="62"/>
        <v>230.99959999999999</v>
      </c>
      <c r="AM40" s="1" t="str">
        <f t="shared" si="63"/>
        <v/>
      </c>
      <c r="AN40" s="1" t="str">
        <f t="shared" si="64"/>
        <v/>
      </c>
      <c r="AO40" s="1" t="str">
        <f t="shared" si="65"/>
        <v/>
      </c>
      <c r="AP40" s="1" t="str">
        <f t="shared" si="66"/>
        <v/>
      </c>
      <c r="AQ40" s="1" t="str">
        <f t="shared" si="67"/>
        <v/>
      </c>
      <c r="AR40" s="1" t="str">
        <f t="shared" si="68"/>
        <v/>
      </c>
      <c r="AS40" s="1" t="str">
        <f t="shared" si="69"/>
        <v/>
      </c>
      <c r="AT40" s="1" t="str">
        <f t="shared" si="70"/>
        <v/>
      </c>
      <c r="AU40" s="1" t="str">
        <f t="shared" si="71"/>
        <v/>
      </c>
    </row>
    <row r="41" spans="1:47" ht="19" customHeight="1" x14ac:dyDescent="0.3">
      <c r="A41" s="67" t="s">
        <v>103</v>
      </c>
      <c r="B41" s="67"/>
      <c r="C41" s="67"/>
      <c r="D41" s="89">
        <f>持有情况!BD70-ROW()*0.00001</f>
        <v>158.99959000000001</v>
      </c>
      <c r="E41" s="89">
        <v>3</v>
      </c>
      <c r="F41" s="89">
        <v>1</v>
      </c>
      <c r="G41" s="89">
        <v>3</v>
      </c>
      <c r="H41" s="89">
        <v>1</v>
      </c>
      <c r="I41" s="84" t="s">
        <v>303</v>
      </c>
      <c r="J41" s="89">
        <f>IF(路线!C6="计算",INT((6.4/100)*路线!B11+10*路线!B31+13*路线!B15+30+20)-ROW()*0.00001,INT((6.4/100)*路线!B11+10*路线!B31+13*路线!B15+30)-ROW()*0.00001)</f>
        <v>158.99959000000001</v>
      </c>
      <c r="L41" s="1" t="str">
        <f t="shared" si="36"/>
        <v/>
      </c>
      <c r="M41" s="1" t="str">
        <f t="shared" si="37"/>
        <v/>
      </c>
      <c r="N41" s="1" t="str">
        <f t="shared" si="38"/>
        <v/>
      </c>
      <c r="O41" s="1" t="str">
        <f t="shared" si="39"/>
        <v/>
      </c>
      <c r="P41" s="1" t="str">
        <f t="shared" si="40"/>
        <v/>
      </c>
      <c r="Q41" s="1" t="str">
        <f t="shared" si="41"/>
        <v/>
      </c>
      <c r="R41" s="1" t="str">
        <f t="shared" si="42"/>
        <v/>
      </c>
      <c r="S41" s="1" t="str">
        <f t="shared" si="43"/>
        <v/>
      </c>
      <c r="T41" s="1">
        <f t="shared" si="44"/>
        <v>158.99959000000001</v>
      </c>
      <c r="U41" s="1" t="str">
        <f t="shared" si="45"/>
        <v/>
      </c>
      <c r="V41" s="1" t="str">
        <f t="shared" si="46"/>
        <v/>
      </c>
      <c r="W41" s="1" t="str">
        <f t="shared" si="47"/>
        <v/>
      </c>
      <c r="X41" s="1" t="str">
        <f t="shared" si="48"/>
        <v/>
      </c>
      <c r="Y41" s="1" t="str">
        <f t="shared" si="49"/>
        <v/>
      </c>
      <c r="Z41" s="1" t="str">
        <f t="shared" si="50"/>
        <v/>
      </c>
      <c r="AA41" s="1" t="str">
        <f t="shared" si="51"/>
        <v/>
      </c>
      <c r="AB41" s="1" t="str">
        <f t="shared" si="52"/>
        <v/>
      </c>
      <c r="AC41" s="1">
        <f t="shared" si="53"/>
        <v>158.99959000000001</v>
      </c>
      <c r="AD41" s="1" t="str">
        <f t="shared" si="54"/>
        <v/>
      </c>
      <c r="AE41" s="1" t="str">
        <f t="shared" si="55"/>
        <v/>
      </c>
      <c r="AF41" s="1" t="str">
        <f t="shared" si="56"/>
        <v/>
      </c>
      <c r="AG41" s="1" t="str">
        <f t="shared" si="57"/>
        <v/>
      </c>
      <c r="AH41" s="1" t="str">
        <f t="shared" si="58"/>
        <v/>
      </c>
      <c r="AI41" s="1" t="str">
        <f t="shared" si="59"/>
        <v/>
      </c>
      <c r="AJ41" s="1" t="str">
        <f t="shared" si="60"/>
        <v/>
      </c>
      <c r="AK41" s="1" t="str">
        <f t="shared" si="61"/>
        <v/>
      </c>
      <c r="AL41" s="1" t="str">
        <f t="shared" si="62"/>
        <v/>
      </c>
      <c r="AM41" s="1" t="str">
        <f t="shared" si="63"/>
        <v/>
      </c>
      <c r="AN41" s="1" t="str">
        <f t="shared" si="64"/>
        <v/>
      </c>
      <c r="AO41" s="1" t="str">
        <f t="shared" si="65"/>
        <v/>
      </c>
      <c r="AP41" s="1" t="str">
        <f t="shared" si="66"/>
        <v/>
      </c>
      <c r="AQ41" s="1" t="str">
        <f t="shared" si="67"/>
        <v/>
      </c>
      <c r="AR41" s="1" t="str">
        <f t="shared" si="68"/>
        <v/>
      </c>
      <c r="AS41" s="1" t="str">
        <f t="shared" si="69"/>
        <v/>
      </c>
      <c r="AT41" s="1" t="str">
        <f t="shared" si="70"/>
        <v/>
      </c>
      <c r="AU41" s="1">
        <f t="shared" si="71"/>
        <v>158.99959000000001</v>
      </c>
    </row>
    <row r="42" spans="1:47" ht="19" customHeight="1" x14ac:dyDescent="0.3">
      <c r="A42" s="67" t="s">
        <v>25</v>
      </c>
      <c r="B42" s="67"/>
      <c r="C42" s="67"/>
      <c r="D42" s="89">
        <f>持有情况!Z10-ROW()*0.00001</f>
        <v>180.99958000000001</v>
      </c>
      <c r="E42" s="90">
        <v>0</v>
      </c>
      <c r="F42" s="90">
        <v>0</v>
      </c>
      <c r="G42" s="89">
        <v>3</v>
      </c>
      <c r="H42" s="89">
        <v>1</v>
      </c>
      <c r="I42" s="84" t="s">
        <v>304</v>
      </c>
      <c r="J42" s="89">
        <f>INT(路线!B11*(8.5/100)+7*路线!B30+4*(路线!B28+路线!B29)+40)-ROW()*0.00001</f>
        <v>180.99958000000001</v>
      </c>
      <c r="L42" s="1" t="str">
        <f t="shared" si="36"/>
        <v/>
      </c>
      <c r="M42" s="1" t="str">
        <f t="shared" si="37"/>
        <v/>
      </c>
      <c r="N42" s="1" t="str">
        <f t="shared" si="38"/>
        <v/>
      </c>
      <c r="O42" s="1" t="str">
        <f t="shared" si="39"/>
        <v/>
      </c>
      <c r="P42" s="1" t="str">
        <f t="shared" si="40"/>
        <v/>
      </c>
      <c r="Q42" s="1" t="str">
        <f t="shared" si="41"/>
        <v/>
      </c>
      <c r="R42" s="1">
        <f t="shared" si="42"/>
        <v>180.99958000000001</v>
      </c>
      <c r="S42" s="1">
        <f t="shared" si="43"/>
        <v>180.99958000000001</v>
      </c>
      <c r="T42" s="1">
        <f t="shared" si="44"/>
        <v>180.99958000000001</v>
      </c>
      <c r="U42" s="1" t="str">
        <f t="shared" si="45"/>
        <v/>
      </c>
      <c r="V42" s="1" t="str">
        <f t="shared" si="46"/>
        <v/>
      </c>
      <c r="W42" s="1" t="str">
        <f t="shared" si="47"/>
        <v/>
      </c>
      <c r="X42" s="1" t="str">
        <f t="shared" si="48"/>
        <v/>
      </c>
      <c r="Y42" s="1" t="str">
        <f t="shared" si="49"/>
        <v/>
      </c>
      <c r="Z42" s="1" t="str">
        <f t="shared" si="50"/>
        <v/>
      </c>
      <c r="AA42" s="1" t="str">
        <f t="shared" si="51"/>
        <v/>
      </c>
      <c r="AB42" s="1" t="str">
        <f t="shared" si="52"/>
        <v/>
      </c>
      <c r="AC42" s="1" t="str">
        <f t="shared" si="53"/>
        <v/>
      </c>
      <c r="AD42" s="1" t="str">
        <f t="shared" si="54"/>
        <v/>
      </c>
      <c r="AE42" s="1" t="str">
        <f t="shared" si="55"/>
        <v/>
      </c>
      <c r="AF42" s="1">
        <f t="shared" si="56"/>
        <v>180.99958000000001</v>
      </c>
      <c r="AG42" s="1" t="str">
        <f t="shared" si="57"/>
        <v/>
      </c>
      <c r="AH42" s="1" t="str">
        <f t="shared" si="58"/>
        <v/>
      </c>
      <c r="AI42" s="1" t="str">
        <f t="shared" si="59"/>
        <v/>
      </c>
      <c r="AJ42" s="1" t="str">
        <f t="shared" si="60"/>
        <v/>
      </c>
      <c r="AK42" s="1" t="str">
        <f t="shared" si="61"/>
        <v/>
      </c>
      <c r="AL42" s="1">
        <f t="shared" si="62"/>
        <v>180.99958000000001</v>
      </c>
      <c r="AM42" s="1" t="str">
        <f t="shared" si="63"/>
        <v/>
      </c>
      <c r="AN42" s="1" t="str">
        <f t="shared" si="64"/>
        <v/>
      </c>
      <c r="AO42" s="1" t="str">
        <f t="shared" si="65"/>
        <v/>
      </c>
      <c r="AP42" s="1" t="str">
        <f t="shared" si="66"/>
        <v/>
      </c>
      <c r="AQ42" s="1" t="str">
        <f t="shared" si="67"/>
        <v/>
      </c>
      <c r="AR42" s="1">
        <f t="shared" si="68"/>
        <v>180.99958000000001</v>
      </c>
      <c r="AS42" s="1" t="str">
        <f t="shared" si="69"/>
        <v/>
      </c>
      <c r="AT42" s="1" t="str">
        <f t="shared" si="70"/>
        <v/>
      </c>
      <c r="AU42" s="1" t="str">
        <f t="shared" si="71"/>
        <v/>
      </c>
    </row>
    <row r="43" spans="1:47" ht="19" customHeight="1" x14ac:dyDescent="0.3">
      <c r="A43" s="57" t="s">
        <v>30</v>
      </c>
      <c r="B43" s="57"/>
      <c r="C43" s="57"/>
      <c r="D43" s="89">
        <f>持有情况!F16-ROW()*0.00001</f>
        <v>217.99957000000001</v>
      </c>
      <c r="E43" s="90">
        <v>0</v>
      </c>
      <c r="F43" s="89">
        <v>1</v>
      </c>
      <c r="G43" s="89">
        <v>1</v>
      </c>
      <c r="H43" s="89">
        <v>1</v>
      </c>
      <c r="I43" s="84" t="s">
        <v>305</v>
      </c>
      <c r="J43" s="89">
        <f>IF(路线!C6="计算",INT(60+17*路线!B15+3*路线!B23+40+20)-ROW()*0.00001,INT(60+17*路线!B15+3*路线!B23+40)-ROW()*0.00001)</f>
        <v>217.99957000000001</v>
      </c>
      <c r="L43" s="1">
        <f t="shared" si="36"/>
        <v>217.99957000000001</v>
      </c>
      <c r="M43" s="1">
        <f t="shared" si="37"/>
        <v>217.99957000000001</v>
      </c>
      <c r="N43" s="1">
        <f t="shared" si="38"/>
        <v>217.99957000000001</v>
      </c>
      <c r="O43" s="1" t="str">
        <f t="shared" si="39"/>
        <v/>
      </c>
      <c r="P43" s="1" t="str">
        <f t="shared" si="40"/>
        <v/>
      </c>
      <c r="Q43" s="1" t="str">
        <f t="shared" si="41"/>
        <v/>
      </c>
      <c r="R43" s="1" t="str">
        <f t="shared" si="42"/>
        <v/>
      </c>
      <c r="S43" s="1" t="str">
        <f t="shared" si="43"/>
        <v/>
      </c>
      <c r="T43" s="1" t="str">
        <f t="shared" si="44"/>
        <v/>
      </c>
      <c r="U43" s="1">
        <f t="shared" si="45"/>
        <v>217.99957000000001</v>
      </c>
      <c r="V43" s="1" t="str">
        <f t="shared" si="46"/>
        <v/>
      </c>
      <c r="W43" s="1" t="str">
        <f t="shared" si="47"/>
        <v/>
      </c>
      <c r="X43" s="1">
        <f t="shared" si="48"/>
        <v>217.99957000000001</v>
      </c>
      <c r="Y43" s="1" t="str">
        <f t="shared" si="49"/>
        <v/>
      </c>
      <c r="Z43" s="1" t="str">
        <f t="shared" si="50"/>
        <v/>
      </c>
      <c r="AA43" s="1">
        <f t="shared" si="51"/>
        <v>217.99957000000001</v>
      </c>
      <c r="AB43" s="1" t="str">
        <f t="shared" si="52"/>
        <v/>
      </c>
      <c r="AC43" s="1" t="str">
        <f t="shared" si="53"/>
        <v/>
      </c>
      <c r="AD43" s="1" t="str">
        <f t="shared" si="54"/>
        <v/>
      </c>
      <c r="AE43" s="1" t="str">
        <f t="shared" si="55"/>
        <v/>
      </c>
      <c r="AF43" s="1" t="str">
        <f t="shared" si="56"/>
        <v/>
      </c>
      <c r="AG43" s="1">
        <f t="shared" si="57"/>
        <v>217.99957000000001</v>
      </c>
      <c r="AH43" s="1" t="str">
        <f t="shared" si="58"/>
        <v/>
      </c>
      <c r="AI43" s="1" t="str">
        <f t="shared" si="59"/>
        <v/>
      </c>
      <c r="AJ43" s="1" t="str">
        <f t="shared" si="60"/>
        <v/>
      </c>
      <c r="AK43" s="1" t="str">
        <f t="shared" si="61"/>
        <v/>
      </c>
      <c r="AL43" s="1" t="str">
        <f t="shared" si="62"/>
        <v/>
      </c>
      <c r="AM43" s="1">
        <f t="shared" si="63"/>
        <v>217.99957000000001</v>
      </c>
      <c r="AN43" s="1" t="str">
        <f t="shared" si="64"/>
        <v/>
      </c>
      <c r="AO43" s="1" t="str">
        <f t="shared" si="65"/>
        <v/>
      </c>
      <c r="AP43" s="1" t="str">
        <f t="shared" si="66"/>
        <v/>
      </c>
      <c r="AQ43" s="1" t="str">
        <f t="shared" si="67"/>
        <v/>
      </c>
      <c r="AR43" s="1" t="str">
        <f t="shared" si="68"/>
        <v/>
      </c>
      <c r="AS43" s="1">
        <f t="shared" si="69"/>
        <v>217.99957000000001</v>
      </c>
      <c r="AT43" s="1" t="str">
        <f t="shared" si="70"/>
        <v/>
      </c>
      <c r="AU43" s="1" t="str">
        <f t="shared" si="71"/>
        <v/>
      </c>
    </row>
    <row r="44" spans="1:47" ht="19" customHeight="1" x14ac:dyDescent="0.3">
      <c r="A44" s="57" t="s">
        <v>70</v>
      </c>
      <c r="B44" s="57"/>
      <c r="C44" s="57"/>
      <c r="D44" s="89">
        <f>持有情况!F46-ROW()*0.00001</f>
        <v>254.99956</v>
      </c>
      <c r="E44" s="89">
        <v>1</v>
      </c>
      <c r="F44" s="90">
        <v>0</v>
      </c>
      <c r="G44" s="89">
        <v>1</v>
      </c>
      <c r="H44" s="89">
        <v>1</v>
      </c>
      <c r="I44" s="84" t="s">
        <v>306</v>
      </c>
      <c r="J44" s="89">
        <f>IF(路线!C6="计算",INT((8.5/100)*路线!B11+17*路线!B15+17*路线!B34+40+20)-ROW()*0.00001,INT((8.5/100)*路线!B11+17*路线!B15+17*路线!B34+40)-ROW()*0.00001)</f>
        <v>254.99956</v>
      </c>
      <c r="L44" s="1">
        <f t="shared" si="36"/>
        <v>254.99956</v>
      </c>
      <c r="M44" s="1" t="str">
        <f t="shared" si="37"/>
        <v/>
      </c>
      <c r="N44" s="1" t="str">
        <f t="shared" si="38"/>
        <v/>
      </c>
      <c r="O44" s="1" t="str">
        <f t="shared" si="39"/>
        <v/>
      </c>
      <c r="P44" s="1" t="str">
        <f t="shared" si="40"/>
        <v/>
      </c>
      <c r="Q44" s="1" t="str">
        <f t="shared" si="41"/>
        <v/>
      </c>
      <c r="R44" s="1" t="str">
        <f t="shared" si="42"/>
        <v/>
      </c>
      <c r="S44" s="1" t="str">
        <f t="shared" si="43"/>
        <v/>
      </c>
      <c r="T44" s="1" t="str">
        <f t="shared" si="44"/>
        <v/>
      </c>
      <c r="U44" s="1" t="str">
        <f t="shared" si="45"/>
        <v/>
      </c>
      <c r="V44" s="1" t="str">
        <f t="shared" si="46"/>
        <v/>
      </c>
      <c r="W44" s="1" t="str">
        <f t="shared" si="47"/>
        <v/>
      </c>
      <c r="X44" s="1" t="str">
        <f t="shared" si="48"/>
        <v/>
      </c>
      <c r="Y44" s="1" t="str">
        <f t="shared" si="49"/>
        <v/>
      </c>
      <c r="Z44" s="1" t="str">
        <f t="shared" si="50"/>
        <v/>
      </c>
      <c r="AA44" s="1" t="str">
        <f t="shared" si="51"/>
        <v/>
      </c>
      <c r="AB44" s="1" t="str">
        <f t="shared" si="52"/>
        <v/>
      </c>
      <c r="AC44" s="1" t="str">
        <f t="shared" si="53"/>
        <v/>
      </c>
      <c r="AD44" s="1">
        <f t="shared" si="54"/>
        <v>254.99956</v>
      </c>
      <c r="AE44" s="1" t="str">
        <f t="shared" si="55"/>
        <v/>
      </c>
      <c r="AF44" s="1" t="str">
        <f t="shared" si="56"/>
        <v/>
      </c>
      <c r="AG44" s="1" t="str">
        <f t="shared" si="57"/>
        <v/>
      </c>
      <c r="AH44" s="1" t="str">
        <f t="shared" si="58"/>
        <v/>
      </c>
      <c r="AI44" s="1" t="str">
        <f t="shared" si="59"/>
        <v/>
      </c>
      <c r="AJ44" s="1" t="str">
        <f t="shared" si="60"/>
        <v/>
      </c>
      <c r="AK44" s="1" t="str">
        <f t="shared" si="61"/>
        <v/>
      </c>
      <c r="AL44" s="1" t="str">
        <f t="shared" si="62"/>
        <v/>
      </c>
      <c r="AM44" s="1" t="str">
        <f t="shared" si="63"/>
        <v/>
      </c>
      <c r="AN44" s="1" t="str">
        <f t="shared" si="64"/>
        <v/>
      </c>
      <c r="AO44" s="1" t="str">
        <f t="shared" si="65"/>
        <v/>
      </c>
      <c r="AP44" s="1" t="str">
        <f t="shared" si="66"/>
        <v/>
      </c>
      <c r="AQ44" s="1" t="str">
        <f t="shared" si="67"/>
        <v/>
      </c>
      <c r="AR44" s="1" t="str">
        <f t="shared" si="68"/>
        <v/>
      </c>
      <c r="AS44" s="1" t="str">
        <f t="shared" si="69"/>
        <v/>
      </c>
      <c r="AT44" s="1" t="str">
        <f t="shared" si="70"/>
        <v/>
      </c>
      <c r="AU44" s="1" t="str">
        <f t="shared" si="71"/>
        <v/>
      </c>
    </row>
    <row r="45" spans="1:47" ht="19" customHeight="1" x14ac:dyDescent="0.3">
      <c r="A45" s="57" t="s">
        <v>125</v>
      </c>
      <c r="B45" s="57"/>
      <c r="C45" s="57"/>
      <c r="D45" s="89">
        <f>持有情况!F94-ROW()*0.00001</f>
        <v>211.99955</v>
      </c>
      <c r="E45" s="90">
        <v>0</v>
      </c>
      <c r="F45" s="90">
        <v>0</v>
      </c>
      <c r="G45" s="89">
        <v>1</v>
      </c>
      <c r="H45" s="89">
        <v>1</v>
      </c>
      <c r="I45" s="84" t="s">
        <v>307</v>
      </c>
      <c r="J45" s="89">
        <f>IF(路线!C6="计算",INT((8.5/100)*路线!B11+2*路线!B24+13*路线!B15+40+20)-ROW()*0.00001,INT((8.5/100)*路线!B11+2*路线!B24+13*路线!B15+40)-ROW()*0.00001)</f>
        <v>211.99955</v>
      </c>
      <c r="L45" s="1">
        <f t="shared" si="36"/>
        <v>211.99955</v>
      </c>
      <c r="M45" s="1">
        <f t="shared" si="37"/>
        <v>211.99955</v>
      </c>
      <c r="N45" s="1">
        <f t="shared" si="38"/>
        <v>211.99955</v>
      </c>
      <c r="O45" s="1" t="str">
        <f t="shared" si="39"/>
        <v/>
      </c>
      <c r="P45" s="1" t="str">
        <f t="shared" si="40"/>
        <v/>
      </c>
      <c r="Q45" s="1" t="str">
        <f t="shared" si="41"/>
        <v/>
      </c>
      <c r="R45" s="1" t="str">
        <f t="shared" si="42"/>
        <v/>
      </c>
      <c r="S45" s="1" t="str">
        <f t="shared" si="43"/>
        <v/>
      </c>
      <c r="T45" s="1" t="str">
        <f t="shared" si="44"/>
        <v/>
      </c>
      <c r="U45" s="1" t="str">
        <f t="shared" si="45"/>
        <v/>
      </c>
      <c r="V45" s="1" t="str">
        <f t="shared" si="46"/>
        <v/>
      </c>
      <c r="W45" s="1" t="str">
        <f t="shared" si="47"/>
        <v/>
      </c>
      <c r="X45" s="1" t="str">
        <f t="shared" si="48"/>
        <v/>
      </c>
      <c r="Y45" s="1" t="str">
        <f t="shared" si="49"/>
        <v/>
      </c>
      <c r="Z45" s="1" t="str">
        <f t="shared" si="50"/>
        <v/>
      </c>
      <c r="AA45" s="1" t="str">
        <f t="shared" si="51"/>
        <v/>
      </c>
      <c r="AB45" s="1" t="str">
        <f t="shared" si="52"/>
        <v/>
      </c>
      <c r="AC45" s="1" t="str">
        <f t="shared" si="53"/>
        <v/>
      </c>
      <c r="AD45" s="1">
        <f t="shared" si="54"/>
        <v>211.99955</v>
      </c>
      <c r="AE45" s="1" t="str">
        <f t="shared" si="55"/>
        <v/>
      </c>
      <c r="AF45" s="1" t="str">
        <f t="shared" si="56"/>
        <v/>
      </c>
      <c r="AG45" s="1" t="str">
        <f t="shared" si="57"/>
        <v/>
      </c>
      <c r="AH45" s="1" t="str">
        <f t="shared" si="58"/>
        <v/>
      </c>
      <c r="AI45" s="1" t="str">
        <f t="shared" si="59"/>
        <v/>
      </c>
      <c r="AJ45" s="1">
        <f t="shared" si="60"/>
        <v>211.99955</v>
      </c>
      <c r="AK45" s="1" t="str">
        <f t="shared" si="61"/>
        <v/>
      </c>
      <c r="AL45" s="1" t="str">
        <f t="shared" si="62"/>
        <v/>
      </c>
      <c r="AM45" s="1" t="str">
        <f t="shared" si="63"/>
        <v/>
      </c>
      <c r="AN45" s="1" t="str">
        <f t="shared" si="64"/>
        <v/>
      </c>
      <c r="AO45" s="1" t="str">
        <f t="shared" si="65"/>
        <v/>
      </c>
      <c r="AP45" s="1">
        <f t="shared" si="66"/>
        <v>211.99955</v>
      </c>
      <c r="AQ45" s="1" t="str">
        <f t="shared" si="67"/>
        <v/>
      </c>
      <c r="AR45" s="1" t="str">
        <f t="shared" si="68"/>
        <v/>
      </c>
      <c r="AS45" s="1" t="str">
        <f t="shared" si="69"/>
        <v/>
      </c>
      <c r="AT45" s="1" t="str">
        <f t="shared" si="70"/>
        <v/>
      </c>
      <c r="AU45" s="1" t="str">
        <f t="shared" si="71"/>
        <v/>
      </c>
    </row>
    <row r="46" spans="1:47" ht="19" customHeight="1" x14ac:dyDescent="0.3">
      <c r="A46" s="75" t="s">
        <v>79</v>
      </c>
      <c r="B46" s="75"/>
      <c r="C46" s="75"/>
      <c r="D46" s="89">
        <f>持有情况!P52-ROW()*0.00001</f>
        <v>197.99954</v>
      </c>
      <c r="E46" s="89">
        <v>1</v>
      </c>
      <c r="F46" s="89">
        <v>1</v>
      </c>
      <c r="G46" s="89">
        <v>2</v>
      </c>
      <c r="H46" s="90">
        <v>0</v>
      </c>
      <c r="I46" s="1"/>
      <c r="J46" s="89">
        <f>INT(60+17*路线!B15+3*路线!B23+40)-ROW()*0.00001</f>
        <v>197.99954</v>
      </c>
      <c r="L46" s="1" t="str">
        <f t="shared" si="36"/>
        <v/>
      </c>
      <c r="M46" s="1" t="str">
        <f t="shared" si="37"/>
        <v/>
      </c>
      <c r="N46" s="1" t="str">
        <f t="shared" si="38"/>
        <v/>
      </c>
      <c r="O46" s="1">
        <f t="shared" si="39"/>
        <v>197.99954</v>
      </c>
      <c r="P46" s="1" t="str">
        <f t="shared" si="40"/>
        <v/>
      </c>
      <c r="Q46" s="1" t="str">
        <f t="shared" si="41"/>
        <v/>
      </c>
      <c r="R46" s="1" t="str">
        <f t="shared" si="42"/>
        <v/>
      </c>
      <c r="S46" s="1" t="str">
        <f t="shared" si="43"/>
        <v/>
      </c>
      <c r="T46" s="1" t="str">
        <f t="shared" si="44"/>
        <v/>
      </c>
      <c r="U46" s="1" t="str">
        <f t="shared" si="45"/>
        <v/>
      </c>
      <c r="V46" s="1">
        <f t="shared" si="46"/>
        <v>197.99954</v>
      </c>
      <c r="W46" s="1" t="str">
        <f t="shared" si="47"/>
        <v/>
      </c>
      <c r="X46" s="1" t="str">
        <f t="shared" si="48"/>
        <v/>
      </c>
      <c r="Y46" s="1" t="str">
        <f t="shared" si="49"/>
        <v/>
      </c>
      <c r="Z46" s="1" t="str">
        <f t="shared" si="50"/>
        <v/>
      </c>
      <c r="AA46" s="1" t="str">
        <f t="shared" si="51"/>
        <v/>
      </c>
      <c r="AB46" s="1" t="str">
        <f t="shared" si="52"/>
        <v/>
      </c>
      <c r="AC46" s="1" t="str">
        <f t="shared" si="53"/>
        <v/>
      </c>
      <c r="AD46" s="1" t="str">
        <f t="shared" si="54"/>
        <v/>
      </c>
      <c r="AE46" s="1" t="str">
        <f t="shared" si="55"/>
        <v/>
      </c>
      <c r="AF46" s="1" t="str">
        <f t="shared" si="56"/>
        <v/>
      </c>
      <c r="AG46" s="1" t="str">
        <f t="shared" si="57"/>
        <v/>
      </c>
      <c r="AH46" s="1">
        <f t="shared" si="58"/>
        <v>197.99954</v>
      </c>
      <c r="AI46" s="1" t="str">
        <f t="shared" si="59"/>
        <v/>
      </c>
      <c r="AJ46" s="1" t="str">
        <f t="shared" si="60"/>
        <v/>
      </c>
      <c r="AK46" s="1" t="str">
        <f t="shared" si="61"/>
        <v/>
      </c>
      <c r="AL46" s="1" t="str">
        <f t="shared" si="62"/>
        <v/>
      </c>
      <c r="AM46" s="1" t="str">
        <f t="shared" si="63"/>
        <v/>
      </c>
      <c r="AN46" s="1" t="str">
        <f t="shared" si="64"/>
        <v/>
      </c>
      <c r="AO46" s="1" t="str">
        <f t="shared" si="65"/>
        <v/>
      </c>
      <c r="AP46" s="1" t="str">
        <f t="shared" si="66"/>
        <v/>
      </c>
      <c r="AQ46" s="1" t="str">
        <f t="shared" si="67"/>
        <v/>
      </c>
      <c r="AR46" s="1" t="str">
        <f t="shared" si="68"/>
        <v/>
      </c>
      <c r="AS46" s="1" t="str">
        <f t="shared" si="69"/>
        <v/>
      </c>
      <c r="AT46" s="1" t="str">
        <f t="shared" si="70"/>
        <v/>
      </c>
      <c r="AU46" s="1" t="str">
        <f t="shared" si="71"/>
        <v/>
      </c>
    </row>
    <row r="47" spans="1:47" ht="19" customHeight="1" x14ac:dyDescent="0.3">
      <c r="A47" s="75" t="s">
        <v>113</v>
      </c>
      <c r="B47" s="75"/>
      <c r="C47" s="75"/>
      <c r="D47" s="89">
        <f>持有情况!P82-ROW()*0.00001</f>
        <v>197.99952999999999</v>
      </c>
      <c r="E47" s="89">
        <v>3</v>
      </c>
      <c r="F47" s="89">
        <v>1</v>
      </c>
      <c r="G47" s="89">
        <v>2</v>
      </c>
      <c r="H47" s="89">
        <v>1</v>
      </c>
      <c r="I47" s="84" t="s">
        <v>308</v>
      </c>
      <c r="J47" s="89">
        <f>INT(60+17*路线!B15+3*路线!B23+40)-ROW()*0.00001</f>
        <v>197.99952999999999</v>
      </c>
      <c r="L47" s="1" t="str">
        <f t="shared" si="36"/>
        <v/>
      </c>
      <c r="M47" s="1" t="str">
        <f t="shared" si="37"/>
        <v/>
      </c>
      <c r="N47" s="1" t="str">
        <f t="shared" si="38"/>
        <v/>
      </c>
      <c r="O47" s="1" t="str">
        <f t="shared" si="39"/>
        <v/>
      </c>
      <c r="P47" s="1" t="str">
        <f t="shared" si="40"/>
        <v/>
      </c>
      <c r="Q47" s="1">
        <f t="shared" si="41"/>
        <v>197.99952999999999</v>
      </c>
      <c r="R47" s="1" t="str">
        <f t="shared" si="42"/>
        <v/>
      </c>
      <c r="S47" s="1" t="str">
        <f t="shared" si="43"/>
        <v/>
      </c>
      <c r="T47" s="1" t="str">
        <f t="shared" si="44"/>
        <v/>
      </c>
      <c r="U47" s="1" t="str">
        <f t="shared" si="45"/>
        <v/>
      </c>
      <c r="V47" s="1" t="str">
        <f t="shared" si="46"/>
        <v/>
      </c>
      <c r="W47" s="1" t="str">
        <f t="shared" si="47"/>
        <v/>
      </c>
      <c r="X47" s="1" t="str">
        <f t="shared" si="48"/>
        <v/>
      </c>
      <c r="Y47" s="1" t="str">
        <f t="shared" si="49"/>
        <v/>
      </c>
      <c r="Z47" s="1" t="str">
        <f t="shared" si="50"/>
        <v/>
      </c>
      <c r="AA47" s="1" t="str">
        <f t="shared" si="51"/>
        <v/>
      </c>
      <c r="AB47" s="1">
        <f t="shared" si="52"/>
        <v>197.99952999999999</v>
      </c>
      <c r="AC47" s="1" t="str">
        <f t="shared" si="53"/>
        <v/>
      </c>
      <c r="AD47" s="1" t="str">
        <f t="shared" si="54"/>
        <v/>
      </c>
      <c r="AE47" s="1" t="str">
        <f t="shared" si="55"/>
        <v/>
      </c>
      <c r="AF47" s="1" t="str">
        <f t="shared" si="56"/>
        <v/>
      </c>
      <c r="AG47" s="1" t="str">
        <f t="shared" si="57"/>
        <v/>
      </c>
      <c r="AH47" s="1" t="str">
        <f t="shared" si="58"/>
        <v/>
      </c>
      <c r="AI47" s="1" t="str">
        <f t="shared" si="59"/>
        <v/>
      </c>
      <c r="AJ47" s="1" t="str">
        <f t="shared" si="60"/>
        <v/>
      </c>
      <c r="AK47" s="1" t="str">
        <f t="shared" si="61"/>
        <v/>
      </c>
      <c r="AL47" s="1" t="str">
        <f t="shared" si="62"/>
        <v/>
      </c>
      <c r="AM47" s="1" t="str">
        <f t="shared" si="63"/>
        <v/>
      </c>
      <c r="AN47" s="1" t="str">
        <f t="shared" si="64"/>
        <v/>
      </c>
      <c r="AO47" s="1" t="str">
        <f t="shared" si="65"/>
        <v/>
      </c>
      <c r="AP47" s="1" t="str">
        <f t="shared" si="66"/>
        <v/>
      </c>
      <c r="AQ47" s="1" t="str">
        <f t="shared" si="67"/>
        <v/>
      </c>
      <c r="AR47" s="1" t="str">
        <f t="shared" si="68"/>
        <v/>
      </c>
      <c r="AS47" s="1" t="str">
        <f t="shared" si="69"/>
        <v/>
      </c>
      <c r="AT47" s="1">
        <f t="shared" si="70"/>
        <v>197.99952999999999</v>
      </c>
      <c r="AU47" s="1" t="str">
        <f t="shared" si="71"/>
        <v/>
      </c>
    </row>
    <row r="48" spans="1:47" ht="19" customHeight="1" x14ac:dyDescent="0.3">
      <c r="A48" s="67" t="s">
        <v>87</v>
      </c>
      <c r="B48" s="67"/>
      <c r="C48" s="67"/>
      <c r="D48" s="89">
        <f>持有情况!Z58-ROW()*0.00001</f>
        <v>209.99951999999999</v>
      </c>
      <c r="E48" s="89">
        <v>2</v>
      </c>
      <c r="F48" s="90">
        <v>0</v>
      </c>
      <c r="G48" s="89">
        <v>3</v>
      </c>
      <c r="H48" s="89">
        <v>1</v>
      </c>
      <c r="I48" s="84" t="s">
        <v>309</v>
      </c>
      <c r="J48" s="89">
        <f>IF(路线!C6="计算",INT(60+17*路线!B15+11*路线!B39+40+20)-ROW()*0.00001,INT(60+17*路线!B15+11*路线!B39+40)-ROW()*0.00001)</f>
        <v>209.99951999999999</v>
      </c>
      <c r="L48" s="1" t="str">
        <f t="shared" si="36"/>
        <v/>
      </c>
      <c r="M48" s="1" t="str">
        <f t="shared" si="37"/>
        <v/>
      </c>
      <c r="N48" s="1" t="str">
        <f t="shared" si="38"/>
        <v/>
      </c>
      <c r="O48" s="1" t="str">
        <f t="shared" si="39"/>
        <v/>
      </c>
      <c r="P48" s="1" t="str">
        <f t="shared" si="40"/>
        <v/>
      </c>
      <c r="Q48" s="1" t="str">
        <f t="shared" si="41"/>
        <v/>
      </c>
      <c r="R48" s="1" t="str">
        <f t="shared" si="42"/>
        <v/>
      </c>
      <c r="S48" s="1">
        <f t="shared" si="43"/>
        <v>209.99951999999999</v>
      </c>
      <c r="T48" s="1" t="str">
        <f t="shared" si="44"/>
        <v/>
      </c>
      <c r="U48" s="1" t="str">
        <f t="shared" si="45"/>
        <v/>
      </c>
      <c r="V48" s="1" t="str">
        <f t="shared" si="46"/>
        <v/>
      </c>
      <c r="W48" s="1" t="str">
        <f t="shared" si="47"/>
        <v/>
      </c>
      <c r="X48" s="1" t="str">
        <f t="shared" si="48"/>
        <v/>
      </c>
      <c r="Y48" s="1" t="str">
        <f t="shared" si="49"/>
        <v/>
      </c>
      <c r="Z48" s="1" t="str">
        <f t="shared" si="50"/>
        <v/>
      </c>
      <c r="AA48" s="1" t="str">
        <f t="shared" si="51"/>
        <v/>
      </c>
      <c r="AB48" s="1" t="str">
        <f t="shared" si="52"/>
        <v/>
      </c>
      <c r="AC48" s="1" t="str">
        <f t="shared" si="53"/>
        <v/>
      </c>
      <c r="AD48" s="1" t="str">
        <f t="shared" si="54"/>
        <v/>
      </c>
      <c r="AE48" s="1" t="str">
        <f t="shared" si="55"/>
        <v/>
      </c>
      <c r="AF48" s="1" t="str">
        <f t="shared" si="56"/>
        <v/>
      </c>
      <c r="AG48" s="1" t="str">
        <f t="shared" si="57"/>
        <v/>
      </c>
      <c r="AH48" s="1" t="str">
        <f t="shared" si="58"/>
        <v/>
      </c>
      <c r="AI48" s="1" t="str">
        <f t="shared" si="59"/>
        <v/>
      </c>
      <c r="AJ48" s="1" t="str">
        <f t="shared" si="60"/>
        <v/>
      </c>
      <c r="AK48" s="1" t="str">
        <f t="shared" si="61"/>
        <v/>
      </c>
      <c r="AL48" s="1">
        <f t="shared" si="62"/>
        <v>209.99951999999999</v>
      </c>
      <c r="AM48" s="1" t="str">
        <f t="shared" si="63"/>
        <v/>
      </c>
      <c r="AN48" s="1" t="str">
        <f t="shared" si="64"/>
        <v/>
      </c>
      <c r="AO48" s="1" t="str">
        <f t="shared" si="65"/>
        <v/>
      </c>
      <c r="AP48" s="1" t="str">
        <f t="shared" si="66"/>
        <v/>
      </c>
      <c r="AQ48" s="1" t="str">
        <f t="shared" si="67"/>
        <v/>
      </c>
      <c r="AR48" s="1" t="str">
        <f t="shared" si="68"/>
        <v/>
      </c>
      <c r="AS48" s="1" t="str">
        <f t="shared" si="69"/>
        <v/>
      </c>
      <c r="AT48" s="1" t="str">
        <f t="shared" si="70"/>
        <v/>
      </c>
      <c r="AU48" s="1" t="str">
        <f t="shared" si="71"/>
        <v/>
      </c>
    </row>
    <row r="49" spans="1:47" ht="19" customHeight="1" x14ac:dyDescent="0.3">
      <c r="A49" s="75" t="s">
        <v>68</v>
      </c>
      <c r="B49" s="75"/>
      <c r="C49" s="75"/>
      <c r="D49" s="89">
        <f>持有情况!AT40-ROW()*0.00001</f>
        <v>126.99951</v>
      </c>
      <c r="E49" s="90">
        <v>0</v>
      </c>
      <c r="F49" s="89">
        <v>1</v>
      </c>
      <c r="G49" s="89">
        <v>2</v>
      </c>
      <c r="H49" s="90">
        <v>0</v>
      </c>
      <c r="I49" s="1"/>
      <c r="J49" s="89">
        <f>INT(45+10*路线!B31+13*路线!B15+30)-ROW()*0.00001</f>
        <v>126.99951</v>
      </c>
      <c r="L49" s="1" t="str">
        <f t="shared" si="36"/>
        <v/>
      </c>
      <c r="M49" s="1" t="str">
        <f t="shared" si="37"/>
        <v/>
      </c>
      <c r="N49" s="1" t="str">
        <f t="shared" si="38"/>
        <v/>
      </c>
      <c r="O49" s="1">
        <f t="shared" si="39"/>
        <v>126.99951</v>
      </c>
      <c r="P49" s="1">
        <f t="shared" si="40"/>
        <v>126.99951</v>
      </c>
      <c r="Q49" s="1">
        <f t="shared" si="41"/>
        <v>126.99951</v>
      </c>
      <c r="R49" s="1" t="str">
        <f t="shared" si="42"/>
        <v/>
      </c>
      <c r="S49" s="1" t="str">
        <f t="shared" si="43"/>
        <v/>
      </c>
      <c r="T49" s="1" t="str">
        <f t="shared" si="44"/>
        <v/>
      </c>
      <c r="U49" s="1" t="str">
        <f t="shared" si="45"/>
        <v/>
      </c>
      <c r="V49" s="1">
        <f t="shared" si="46"/>
        <v>126.99951</v>
      </c>
      <c r="W49" s="1" t="str">
        <f t="shared" si="47"/>
        <v/>
      </c>
      <c r="X49" s="1" t="str">
        <f t="shared" si="48"/>
        <v/>
      </c>
      <c r="Y49" s="1">
        <f t="shared" si="49"/>
        <v>126.99951</v>
      </c>
      <c r="Z49" s="1" t="str">
        <f t="shared" si="50"/>
        <v/>
      </c>
      <c r="AA49" s="1" t="str">
        <f t="shared" si="51"/>
        <v/>
      </c>
      <c r="AB49" s="1">
        <f t="shared" si="52"/>
        <v>126.99951</v>
      </c>
      <c r="AC49" s="1" t="str">
        <f t="shared" si="53"/>
        <v/>
      </c>
      <c r="AD49" s="1" t="str">
        <f t="shared" si="54"/>
        <v/>
      </c>
      <c r="AE49" s="1" t="str">
        <f t="shared" si="55"/>
        <v/>
      </c>
      <c r="AF49" s="1" t="str">
        <f t="shared" si="56"/>
        <v/>
      </c>
      <c r="AG49" s="1" t="str">
        <f t="shared" si="57"/>
        <v/>
      </c>
      <c r="AH49" s="1">
        <f t="shared" si="58"/>
        <v>126.99951</v>
      </c>
      <c r="AI49" s="1" t="str">
        <f t="shared" si="59"/>
        <v/>
      </c>
      <c r="AJ49" s="1" t="str">
        <f t="shared" si="60"/>
        <v/>
      </c>
      <c r="AK49" s="1" t="str">
        <f t="shared" si="61"/>
        <v/>
      </c>
      <c r="AL49" s="1" t="str">
        <f t="shared" si="62"/>
        <v/>
      </c>
      <c r="AM49" s="1" t="str">
        <f t="shared" si="63"/>
        <v/>
      </c>
      <c r="AN49" s="1">
        <f t="shared" si="64"/>
        <v>126.99951</v>
      </c>
      <c r="AO49" s="1" t="str">
        <f t="shared" si="65"/>
        <v/>
      </c>
      <c r="AP49" s="1" t="str">
        <f t="shared" si="66"/>
        <v/>
      </c>
      <c r="AQ49" s="1" t="str">
        <f t="shared" si="67"/>
        <v/>
      </c>
      <c r="AR49" s="1" t="str">
        <f t="shared" si="68"/>
        <v/>
      </c>
      <c r="AS49" s="1" t="str">
        <f t="shared" si="69"/>
        <v/>
      </c>
      <c r="AT49" s="1">
        <f t="shared" si="70"/>
        <v>126.99951</v>
      </c>
      <c r="AU49" s="1" t="str">
        <f t="shared" si="71"/>
        <v/>
      </c>
    </row>
    <row r="50" spans="1:47" ht="19" customHeight="1" x14ac:dyDescent="0.3">
      <c r="A50" s="67" t="s">
        <v>76</v>
      </c>
      <c r="B50" s="67"/>
      <c r="C50" s="67"/>
      <c r="D50" s="89">
        <f>持有情况!BD46-ROW()*0.00001</f>
        <v>159.99950000000001</v>
      </c>
      <c r="E50" s="89">
        <v>2</v>
      </c>
      <c r="F50" s="90">
        <v>0</v>
      </c>
      <c r="G50" s="89">
        <v>3</v>
      </c>
      <c r="H50" s="90">
        <v>0</v>
      </c>
      <c r="I50" s="1"/>
      <c r="J50" s="89">
        <f>INT(45+10*路线!B31+11*路线!B34+13*路线!B15+30)-ROW()*0.00001</f>
        <v>159.99950000000001</v>
      </c>
      <c r="L50" s="1" t="str">
        <f t="shared" si="36"/>
        <v/>
      </c>
      <c r="M50" s="1" t="str">
        <f t="shared" si="37"/>
        <v/>
      </c>
      <c r="N50" s="1" t="str">
        <f t="shared" si="38"/>
        <v/>
      </c>
      <c r="O50" s="1" t="str">
        <f t="shared" si="39"/>
        <v/>
      </c>
      <c r="P50" s="1" t="str">
        <f t="shared" si="40"/>
        <v/>
      </c>
      <c r="Q50" s="1" t="str">
        <f t="shared" si="41"/>
        <v/>
      </c>
      <c r="R50" s="1" t="str">
        <f t="shared" si="42"/>
        <v/>
      </c>
      <c r="S50" s="1">
        <f t="shared" si="43"/>
        <v>159.99950000000001</v>
      </c>
      <c r="T50" s="1" t="str">
        <f t="shared" si="44"/>
        <v/>
      </c>
      <c r="U50" s="1" t="str">
        <f t="shared" si="45"/>
        <v/>
      </c>
      <c r="V50" s="1" t="str">
        <f t="shared" si="46"/>
        <v/>
      </c>
      <c r="W50" s="1" t="str">
        <f t="shared" si="47"/>
        <v/>
      </c>
      <c r="X50" s="1" t="str">
        <f t="shared" si="48"/>
        <v/>
      </c>
      <c r="Y50" s="1" t="str">
        <f t="shared" si="49"/>
        <v/>
      </c>
      <c r="Z50" s="1" t="str">
        <f t="shared" si="50"/>
        <v/>
      </c>
      <c r="AA50" s="1" t="str">
        <f t="shared" si="51"/>
        <v/>
      </c>
      <c r="AB50" s="1" t="str">
        <f t="shared" si="52"/>
        <v/>
      </c>
      <c r="AC50" s="1" t="str">
        <f t="shared" si="53"/>
        <v/>
      </c>
      <c r="AD50" s="1" t="str">
        <f t="shared" si="54"/>
        <v/>
      </c>
      <c r="AE50" s="1" t="str">
        <f t="shared" si="55"/>
        <v/>
      </c>
      <c r="AF50" s="1" t="str">
        <f t="shared" si="56"/>
        <v/>
      </c>
      <c r="AG50" s="1" t="str">
        <f t="shared" si="57"/>
        <v/>
      </c>
      <c r="AH50" s="1" t="str">
        <f t="shared" si="58"/>
        <v/>
      </c>
      <c r="AI50" s="1" t="str">
        <f t="shared" si="59"/>
        <v/>
      </c>
      <c r="AJ50" s="1" t="str">
        <f t="shared" si="60"/>
        <v/>
      </c>
      <c r="AK50" s="1" t="str">
        <f t="shared" si="61"/>
        <v/>
      </c>
      <c r="AL50" s="1">
        <f t="shared" si="62"/>
        <v>159.99950000000001</v>
      </c>
      <c r="AM50" s="1" t="str">
        <f t="shared" si="63"/>
        <v/>
      </c>
      <c r="AN50" s="1" t="str">
        <f t="shared" si="64"/>
        <v/>
      </c>
      <c r="AO50" s="1" t="str">
        <f t="shared" si="65"/>
        <v/>
      </c>
      <c r="AP50" s="1" t="str">
        <f t="shared" si="66"/>
        <v/>
      </c>
      <c r="AQ50" s="1" t="str">
        <f t="shared" si="67"/>
        <v/>
      </c>
      <c r="AR50" s="1" t="str">
        <f t="shared" si="68"/>
        <v/>
      </c>
      <c r="AS50" s="1" t="str">
        <f t="shared" si="69"/>
        <v/>
      </c>
      <c r="AT50" s="1" t="str">
        <f t="shared" si="70"/>
        <v/>
      </c>
      <c r="AU50" s="1" t="str">
        <f t="shared" si="71"/>
        <v/>
      </c>
    </row>
    <row r="51" spans="1:47" ht="19" customHeight="1" x14ac:dyDescent="0.3">
      <c r="A51" s="57" t="s">
        <v>0</v>
      </c>
      <c r="B51" s="57"/>
      <c r="C51" s="57"/>
      <c r="D51" s="94">
        <f>持有情况!F4-ROW()*0.00001</f>
        <v>172.99949000000001</v>
      </c>
      <c r="E51" s="90">
        <v>0</v>
      </c>
      <c r="F51" s="90">
        <v>0</v>
      </c>
      <c r="G51" s="89">
        <v>1</v>
      </c>
      <c r="H51" s="89">
        <v>1</v>
      </c>
      <c r="I51" s="84" t="s">
        <v>310</v>
      </c>
      <c r="J51" s="89">
        <f>INT(60+6*路线!B14+7*路线!B30+40)-ROW()*0.00001</f>
        <v>172.99949000000001</v>
      </c>
      <c r="L51" s="1">
        <f t="shared" si="36"/>
        <v>172.99949000000001</v>
      </c>
      <c r="M51" s="1">
        <f t="shared" si="37"/>
        <v>172.99949000000001</v>
      </c>
      <c r="N51" s="1">
        <f t="shared" si="38"/>
        <v>172.99949000000001</v>
      </c>
      <c r="O51" s="1" t="str">
        <f t="shared" si="39"/>
        <v/>
      </c>
      <c r="P51" s="1" t="str">
        <f t="shared" si="40"/>
        <v/>
      </c>
      <c r="Q51" s="1" t="str">
        <f t="shared" si="41"/>
        <v/>
      </c>
      <c r="R51" s="1" t="str">
        <f t="shared" si="42"/>
        <v/>
      </c>
      <c r="S51" s="1" t="str">
        <f t="shared" si="43"/>
        <v/>
      </c>
      <c r="T51" s="1" t="str">
        <f t="shared" si="44"/>
        <v/>
      </c>
      <c r="U51" s="1" t="str">
        <f t="shared" si="45"/>
        <v/>
      </c>
      <c r="V51" s="1" t="str">
        <f t="shared" si="46"/>
        <v/>
      </c>
      <c r="W51" s="1" t="str">
        <f t="shared" si="47"/>
        <v/>
      </c>
      <c r="X51" s="1" t="str">
        <f t="shared" si="48"/>
        <v/>
      </c>
      <c r="Y51" s="1" t="str">
        <f t="shared" si="49"/>
        <v/>
      </c>
      <c r="Z51" s="1" t="str">
        <f t="shared" si="50"/>
        <v/>
      </c>
      <c r="AA51" s="1" t="str">
        <f t="shared" si="51"/>
        <v/>
      </c>
      <c r="AB51" s="1" t="str">
        <f t="shared" si="52"/>
        <v/>
      </c>
      <c r="AC51" s="1" t="str">
        <f t="shared" si="53"/>
        <v/>
      </c>
      <c r="AD51" s="1">
        <f t="shared" si="54"/>
        <v>172.99949000000001</v>
      </c>
      <c r="AE51" s="1" t="str">
        <f t="shared" si="55"/>
        <v/>
      </c>
      <c r="AF51" s="1" t="str">
        <f t="shared" si="56"/>
        <v/>
      </c>
      <c r="AG51" s="1" t="str">
        <f t="shared" si="57"/>
        <v/>
      </c>
      <c r="AH51" s="1" t="str">
        <f t="shared" si="58"/>
        <v/>
      </c>
      <c r="AI51" s="1" t="str">
        <f t="shared" si="59"/>
        <v/>
      </c>
      <c r="AJ51" s="1">
        <f t="shared" si="60"/>
        <v>172.99949000000001</v>
      </c>
      <c r="AK51" s="1" t="str">
        <f t="shared" si="61"/>
        <v/>
      </c>
      <c r="AL51" s="1" t="str">
        <f t="shared" si="62"/>
        <v/>
      </c>
      <c r="AM51" s="1" t="str">
        <f t="shared" si="63"/>
        <v/>
      </c>
      <c r="AN51" s="1" t="str">
        <f t="shared" si="64"/>
        <v/>
      </c>
      <c r="AO51" s="1" t="str">
        <f t="shared" si="65"/>
        <v/>
      </c>
      <c r="AP51" s="1">
        <f t="shared" si="66"/>
        <v>172.99949000000001</v>
      </c>
      <c r="AQ51" s="1" t="str">
        <f t="shared" si="67"/>
        <v/>
      </c>
      <c r="AR51" s="1" t="str">
        <f t="shared" si="68"/>
        <v/>
      </c>
      <c r="AS51" s="1" t="str">
        <f t="shared" si="69"/>
        <v/>
      </c>
      <c r="AT51" s="1" t="str">
        <f t="shared" si="70"/>
        <v/>
      </c>
      <c r="AU51" s="1" t="str">
        <f t="shared" si="71"/>
        <v/>
      </c>
    </row>
    <row r="52" spans="1:47" ht="19" customHeight="1" x14ac:dyDescent="0.3">
      <c r="A52" s="57" t="s">
        <v>101</v>
      </c>
      <c r="B52" s="57"/>
      <c r="C52" s="57"/>
      <c r="D52" s="89">
        <f>持有情况!AJ70-ROW()*0.00001</f>
        <v>141.99948000000001</v>
      </c>
      <c r="E52" s="89">
        <v>2</v>
      </c>
      <c r="F52" s="90">
        <v>0</v>
      </c>
      <c r="G52" s="89">
        <v>1</v>
      </c>
      <c r="H52" s="89">
        <v>1</v>
      </c>
      <c r="I52" s="84" t="s">
        <v>311</v>
      </c>
      <c r="J52" s="89">
        <f>IF(路线!C6="计算",INT((6.4/100)*路线!B11+5*路线!B30+10*路线!B31+30+20)-ROW()*0.00001,INT((6.4/100)*路线!B11+5*路线!B30+10*路线!B31+30)-ROW()*0.00001)</f>
        <v>141.99948000000001</v>
      </c>
      <c r="L52" s="1" t="str">
        <f t="shared" si="36"/>
        <v/>
      </c>
      <c r="M52" s="1">
        <f t="shared" si="37"/>
        <v>141.99948000000001</v>
      </c>
      <c r="N52" s="1" t="str">
        <f t="shared" si="38"/>
        <v/>
      </c>
      <c r="O52" s="1" t="str">
        <f t="shared" si="39"/>
        <v/>
      </c>
      <c r="P52" s="1" t="str">
        <f t="shared" si="40"/>
        <v/>
      </c>
      <c r="Q52" s="1" t="str">
        <f t="shared" si="41"/>
        <v/>
      </c>
      <c r="R52" s="1" t="str">
        <f t="shared" si="42"/>
        <v/>
      </c>
      <c r="S52" s="1" t="str">
        <f t="shared" si="43"/>
        <v/>
      </c>
      <c r="T52" s="1" t="str">
        <f t="shared" si="44"/>
        <v/>
      </c>
      <c r="U52" s="1" t="str">
        <f t="shared" si="45"/>
        <v/>
      </c>
      <c r="V52" s="1" t="str">
        <f t="shared" si="46"/>
        <v/>
      </c>
      <c r="W52" s="1" t="str">
        <f t="shared" si="47"/>
        <v/>
      </c>
      <c r="X52" s="1" t="str">
        <f t="shared" si="48"/>
        <v/>
      </c>
      <c r="Y52" s="1" t="str">
        <f t="shared" si="49"/>
        <v/>
      </c>
      <c r="Z52" s="1" t="str">
        <f t="shared" si="50"/>
        <v/>
      </c>
      <c r="AA52" s="1" t="str">
        <f t="shared" si="51"/>
        <v/>
      </c>
      <c r="AB52" s="1" t="str">
        <f t="shared" si="52"/>
        <v/>
      </c>
      <c r="AC52" s="1" t="str">
        <f t="shared" si="53"/>
        <v/>
      </c>
      <c r="AD52" s="1" t="str">
        <f t="shared" si="54"/>
        <v/>
      </c>
      <c r="AE52" s="1" t="str">
        <f t="shared" si="55"/>
        <v/>
      </c>
      <c r="AF52" s="1" t="str">
        <f t="shared" si="56"/>
        <v/>
      </c>
      <c r="AG52" s="1" t="str">
        <f t="shared" si="57"/>
        <v/>
      </c>
      <c r="AH52" s="1" t="str">
        <f t="shared" si="58"/>
        <v/>
      </c>
      <c r="AI52" s="1" t="str">
        <f t="shared" si="59"/>
        <v/>
      </c>
      <c r="AJ52" s="1">
        <f t="shared" si="60"/>
        <v>141.99948000000001</v>
      </c>
      <c r="AK52" s="1" t="str">
        <f t="shared" si="61"/>
        <v/>
      </c>
      <c r="AL52" s="1" t="str">
        <f t="shared" si="62"/>
        <v/>
      </c>
      <c r="AM52" s="1" t="str">
        <f t="shared" si="63"/>
        <v/>
      </c>
      <c r="AN52" s="1" t="str">
        <f t="shared" si="64"/>
        <v/>
      </c>
      <c r="AO52" s="1" t="str">
        <f t="shared" si="65"/>
        <v/>
      </c>
      <c r="AP52" s="1" t="str">
        <f t="shared" si="66"/>
        <v/>
      </c>
      <c r="AQ52" s="1" t="str">
        <f t="shared" si="67"/>
        <v/>
      </c>
      <c r="AR52" s="1" t="str">
        <f t="shared" si="68"/>
        <v/>
      </c>
      <c r="AS52" s="1" t="str">
        <f t="shared" si="69"/>
        <v/>
      </c>
      <c r="AT52" s="1" t="str">
        <f t="shared" si="70"/>
        <v/>
      </c>
      <c r="AU52" s="1" t="str">
        <f t="shared" si="71"/>
        <v/>
      </c>
    </row>
    <row r="53" spans="1:47" ht="19" customHeight="1" x14ac:dyDescent="0.3">
      <c r="A53" s="75" t="s">
        <v>92</v>
      </c>
      <c r="B53" s="75"/>
      <c r="C53" s="75"/>
      <c r="D53" s="89">
        <f>持有情况!P64-ROW()*0.00001</f>
        <v>238.99947</v>
      </c>
      <c r="E53" s="89">
        <v>2</v>
      </c>
      <c r="F53" s="89">
        <v>1</v>
      </c>
      <c r="G53" s="89">
        <v>2</v>
      </c>
      <c r="H53" s="89">
        <v>1</v>
      </c>
      <c r="I53" s="84" t="s">
        <v>312</v>
      </c>
      <c r="J53" s="89">
        <f>IF(路线!C6="计算",INT(60+17*路线!B15+17*路线!B34+40+20)-ROW()*0.00001,INT(60+17*路线!B15+17*路线!B34+40)-ROW()*0.00001)</f>
        <v>238.99947</v>
      </c>
      <c r="L53" s="1" t="str">
        <f t="shared" si="36"/>
        <v/>
      </c>
      <c r="M53" s="1" t="str">
        <f t="shared" si="37"/>
        <v/>
      </c>
      <c r="N53" s="1" t="str">
        <f t="shared" si="38"/>
        <v/>
      </c>
      <c r="O53" s="1" t="str">
        <f t="shared" si="39"/>
        <v/>
      </c>
      <c r="P53" s="1">
        <f t="shared" si="40"/>
        <v>238.99947</v>
      </c>
      <c r="Q53" s="1" t="str">
        <f t="shared" si="41"/>
        <v/>
      </c>
      <c r="R53" s="1" t="str">
        <f t="shared" si="42"/>
        <v/>
      </c>
      <c r="S53" s="1" t="str">
        <f t="shared" si="43"/>
        <v/>
      </c>
      <c r="T53" s="1" t="str">
        <f t="shared" si="44"/>
        <v/>
      </c>
      <c r="U53" s="1" t="str">
        <f t="shared" si="45"/>
        <v/>
      </c>
      <c r="V53" s="1" t="str">
        <f t="shared" si="46"/>
        <v/>
      </c>
      <c r="W53" s="1" t="str">
        <f t="shared" si="47"/>
        <v/>
      </c>
      <c r="X53" s="1" t="str">
        <f t="shared" si="48"/>
        <v/>
      </c>
      <c r="Y53" s="1">
        <f t="shared" si="49"/>
        <v>238.99947</v>
      </c>
      <c r="Z53" s="1" t="str">
        <f t="shared" si="50"/>
        <v/>
      </c>
      <c r="AA53" s="1" t="str">
        <f t="shared" si="51"/>
        <v/>
      </c>
      <c r="AB53" s="1" t="str">
        <f t="shared" si="52"/>
        <v/>
      </c>
      <c r="AC53" s="1" t="str">
        <f t="shared" si="53"/>
        <v/>
      </c>
      <c r="AD53" s="1" t="str">
        <f t="shared" si="54"/>
        <v/>
      </c>
      <c r="AE53" s="1" t="str">
        <f t="shared" si="55"/>
        <v/>
      </c>
      <c r="AF53" s="1" t="str">
        <f t="shared" si="56"/>
        <v/>
      </c>
      <c r="AG53" s="1" t="str">
        <f t="shared" si="57"/>
        <v/>
      </c>
      <c r="AH53" s="1" t="str">
        <f t="shared" si="58"/>
        <v/>
      </c>
      <c r="AI53" s="1" t="str">
        <f t="shared" si="59"/>
        <v/>
      </c>
      <c r="AJ53" s="1" t="str">
        <f t="shared" si="60"/>
        <v/>
      </c>
      <c r="AK53" s="1" t="str">
        <f t="shared" si="61"/>
        <v/>
      </c>
      <c r="AL53" s="1" t="str">
        <f t="shared" si="62"/>
        <v/>
      </c>
      <c r="AM53" s="1" t="str">
        <f t="shared" si="63"/>
        <v/>
      </c>
      <c r="AN53" s="1">
        <f t="shared" si="64"/>
        <v>238.99947</v>
      </c>
      <c r="AO53" s="1" t="str">
        <f t="shared" si="65"/>
        <v/>
      </c>
      <c r="AP53" s="1" t="str">
        <f t="shared" si="66"/>
        <v/>
      </c>
      <c r="AQ53" s="1" t="str">
        <f t="shared" si="67"/>
        <v/>
      </c>
      <c r="AR53" s="1" t="str">
        <f t="shared" si="68"/>
        <v/>
      </c>
      <c r="AS53" s="1" t="str">
        <f t="shared" si="69"/>
        <v/>
      </c>
      <c r="AT53" s="1" t="str">
        <f t="shared" si="70"/>
        <v/>
      </c>
      <c r="AU53" s="1" t="str">
        <f t="shared" si="71"/>
        <v/>
      </c>
    </row>
    <row r="54" spans="1:47" ht="19" customHeight="1" x14ac:dyDescent="0.3">
      <c r="A54" s="75" t="s">
        <v>89</v>
      </c>
      <c r="B54" s="75"/>
      <c r="C54" s="75"/>
      <c r="D54" s="89">
        <f>持有情况!AT58-ROW()*0.00001</f>
        <v>167.99946</v>
      </c>
      <c r="E54" s="89">
        <v>1</v>
      </c>
      <c r="F54" s="90">
        <v>0</v>
      </c>
      <c r="G54" s="89">
        <v>2</v>
      </c>
      <c r="H54" s="89">
        <v>1</v>
      </c>
      <c r="I54" s="84" t="s">
        <v>313</v>
      </c>
      <c r="J54" s="89">
        <f>INT((6.4/100)*路线!B11+3*(路线!B28+路线!B29)+17+13*路线!B15+30)-ROW()*0.00001</f>
        <v>167.99946</v>
      </c>
      <c r="L54" s="1" t="str">
        <f t="shared" si="36"/>
        <v/>
      </c>
      <c r="M54" s="1" t="str">
        <f t="shared" si="37"/>
        <v/>
      </c>
      <c r="N54" s="1" t="str">
        <f t="shared" si="38"/>
        <v/>
      </c>
      <c r="O54" s="1">
        <f t="shared" si="39"/>
        <v>167.99946</v>
      </c>
      <c r="P54" s="1" t="str">
        <f t="shared" si="40"/>
        <v/>
      </c>
      <c r="Q54" s="1" t="str">
        <f t="shared" si="41"/>
        <v/>
      </c>
      <c r="R54" s="1" t="str">
        <f t="shared" si="42"/>
        <v/>
      </c>
      <c r="S54" s="1" t="str">
        <f t="shared" si="43"/>
        <v/>
      </c>
      <c r="T54" s="1" t="str">
        <f t="shared" si="44"/>
        <v/>
      </c>
      <c r="U54" s="1" t="str">
        <f t="shared" si="45"/>
        <v/>
      </c>
      <c r="V54" s="1" t="str">
        <f t="shared" si="46"/>
        <v/>
      </c>
      <c r="W54" s="1" t="str">
        <f t="shared" si="47"/>
        <v/>
      </c>
      <c r="X54" s="1" t="str">
        <f t="shared" si="48"/>
        <v/>
      </c>
      <c r="Y54" s="1" t="str">
        <f t="shared" si="49"/>
        <v/>
      </c>
      <c r="Z54" s="1" t="str">
        <f t="shared" si="50"/>
        <v/>
      </c>
      <c r="AA54" s="1" t="str">
        <f t="shared" si="51"/>
        <v/>
      </c>
      <c r="AB54" s="1" t="str">
        <f t="shared" si="52"/>
        <v/>
      </c>
      <c r="AC54" s="1" t="str">
        <f t="shared" si="53"/>
        <v/>
      </c>
      <c r="AD54" s="1" t="str">
        <f t="shared" si="54"/>
        <v/>
      </c>
      <c r="AE54" s="1">
        <f t="shared" si="55"/>
        <v>167.99946</v>
      </c>
      <c r="AF54" s="1" t="str">
        <f t="shared" si="56"/>
        <v/>
      </c>
      <c r="AG54" s="1" t="str">
        <f t="shared" si="57"/>
        <v/>
      </c>
      <c r="AH54" s="1" t="str">
        <f t="shared" si="58"/>
        <v/>
      </c>
      <c r="AI54" s="1" t="str">
        <f t="shared" si="59"/>
        <v/>
      </c>
      <c r="AJ54" s="1" t="str">
        <f t="shared" si="60"/>
        <v/>
      </c>
      <c r="AK54" s="1" t="str">
        <f t="shared" si="61"/>
        <v/>
      </c>
      <c r="AL54" s="1" t="str">
        <f t="shared" si="62"/>
        <v/>
      </c>
      <c r="AM54" s="1" t="str">
        <f t="shared" si="63"/>
        <v/>
      </c>
      <c r="AN54" s="1" t="str">
        <f t="shared" si="64"/>
        <v/>
      </c>
      <c r="AO54" s="1" t="str">
        <f t="shared" si="65"/>
        <v/>
      </c>
      <c r="AP54" s="1" t="str">
        <f t="shared" si="66"/>
        <v/>
      </c>
      <c r="AQ54" s="1" t="str">
        <f t="shared" si="67"/>
        <v/>
      </c>
      <c r="AR54" s="1" t="str">
        <f t="shared" si="68"/>
        <v/>
      </c>
      <c r="AS54" s="1" t="str">
        <f t="shared" si="69"/>
        <v/>
      </c>
      <c r="AT54" s="1" t="str">
        <f t="shared" si="70"/>
        <v/>
      </c>
      <c r="AU54" s="1" t="str">
        <f t="shared" si="71"/>
        <v/>
      </c>
    </row>
    <row r="55" spans="1:47" ht="19" customHeight="1" x14ac:dyDescent="0.3">
      <c r="A55" s="57" t="s">
        <v>109</v>
      </c>
      <c r="B55" s="57"/>
      <c r="C55" s="57"/>
      <c r="D55" s="89">
        <f>持有情况!AJ76-ROW()*0.00001</f>
        <v>171.99945</v>
      </c>
      <c r="E55" s="89">
        <v>2</v>
      </c>
      <c r="F55" s="90">
        <v>0</v>
      </c>
      <c r="G55" s="89">
        <v>1</v>
      </c>
      <c r="H55" s="90">
        <v>0</v>
      </c>
      <c r="I55" s="1"/>
      <c r="J55" s="89">
        <f>INT(45+10*路线!B31+8*路线!B35+17+30)-ROW()*0.00001</f>
        <v>171.99945</v>
      </c>
      <c r="L55" s="1" t="str">
        <f t="shared" si="36"/>
        <v/>
      </c>
      <c r="M55" s="1">
        <f t="shared" si="37"/>
        <v>171.99945</v>
      </c>
      <c r="N55" s="1" t="str">
        <f t="shared" si="38"/>
        <v/>
      </c>
      <c r="O55" s="1" t="str">
        <f t="shared" si="39"/>
        <v/>
      </c>
      <c r="P55" s="1" t="str">
        <f t="shared" si="40"/>
        <v/>
      </c>
      <c r="Q55" s="1" t="str">
        <f t="shared" si="41"/>
        <v/>
      </c>
      <c r="R55" s="1" t="str">
        <f t="shared" si="42"/>
        <v/>
      </c>
      <c r="S55" s="1" t="str">
        <f t="shared" si="43"/>
        <v/>
      </c>
      <c r="T55" s="1" t="str">
        <f t="shared" si="44"/>
        <v/>
      </c>
      <c r="U55" s="1" t="str">
        <f t="shared" si="45"/>
        <v/>
      </c>
      <c r="V55" s="1" t="str">
        <f t="shared" si="46"/>
        <v/>
      </c>
      <c r="W55" s="1" t="str">
        <f t="shared" si="47"/>
        <v/>
      </c>
      <c r="X55" s="1" t="str">
        <f t="shared" si="48"/>
        <v/>
      </c>
      <c r="Y55" s="1" t="str">
        <f t="shared" si="49"/>
        <v/>
      </c>
      <c r="Z55" s="1" t="str">
        <f t="shared" si="50"/>
        <v/>
      </c>
      <c r="AA55" s="1" t="str">
        <f t="shared" si="51"/>
        <v/>
      </c>
      <c r="AB55" s="1" t="str">
        <f t="shared" si="52"/>
        <v/>
      </c>
      <c r="AC55" s="1" t="str">
        <f t="shared" si="53"/>
        <v/>
      </c>
      <c r="AD55" s="1" t="str">
        <f t="shared" si="54"/>
        <v/>
      </c>
      <c r="AE55" s="1" t="str">
        <f t="shared" si="55"/>
        <v/>
      </c>
      <c r="AF55" s="1" t="str">
        <f t="shared" si="56"/>
        <v/>
      </c>
      <c r="AG55" s="1" t="str">
        <f t="shared" si="57"/>
        <v/>
      </c>
      <c r="AH55" s="1" t="str">
        <f t="shared" si="58"/>
        <v/>
      </c>
      <c r="AI55" s="1" t="str">
        <f t="shared" si="59"/>
        <v/>
      </c>
      <c r="AJ55" s="1">
        <f t="shared" si="60"/>
        <v>171.99945</v>
      </c>
      <c r="AK55" s="1" t="str">
        <f t="shared" si="61"/>
        <v/>
      </c>
      <c r="AL55" s="1" t="str">
        <f t="shared" si="62"/>
        <v/>
      </c>
      <c r="AM55" s="1" t="str">
        <f t="shared" si="63"/>
        <v/>
      </c>
      <c r="AN55" s="1" t="str">
        <f t="shared" si="64"/>
        <v/>
      </c>
      <c r="AO55" s="1" t="str">
        <f t="shared" si="65"/>
        <v/>
      </c>
      <c r="AP55" s="1" t="str">
        <f t="shared" si="66"/>
        <v/>
      </c>
      <c r="AQ55" s="1" t="str">
        <f t="shared" si="67"/>
        <v/>
      </c>
      <c r="AR55" s="1" t="str">
        <f t="shared" si="68"/>
        <v/>
      </c>
      <c r="AS55" s="1" t="str">
        <f t="shared" si="69"/>
        <v/>
      </c>
      <c r="AT55" s="1" t="str">
        <f t="shared" si="70"/>
        <v/>
      </c>
      <c r="AU55" s="1" t="str">
        <f t="shared" si="71"/>
        <v/>
      </c>
    </row>
    <row r="56" spans="1:47" ht="19" customHeight="1" x14ac:dyDescent="0.3">
      <c r="A56" s="67" t="s">
        <v>111</v>
      </c>
      <c r="B56" s="67"/>
      <c r="C56" s="67"/>
      <c r="D56" s="89">
        <f>持有情况!BD76-ROW()*0.00001</f>
        <v>186.99943999999999</v>
      </c>
      <c r="E56" s="89">
        <v>3</v>
      </c>
      <c r="F56" s="90">
        <v>0</v>
      </c>
      <c r="G56" s="89">
        <v>3</v>
      </c>
      <c r="H56" s="89">
        <v>1</v>
      </c>
      <c r="I56" s="84" t="s">
        <v>314</v>
      </c>
      <c r="J56" s="89">
        <f>IF(路线!C6="计算",INT(45+3*(路线!B28+路线!B29)+8*路线!B35+10*路线!B31+30+20)-ROW()*0.00001,INT(45+3*(路线!B28+路线!B29)+8*路线!B35+10*路线!B31+30)-ROW()*0.00001)</f>
        <v>186.99943999999999</v>
      </c>
      <c r="L56" s="1" t="str">
        <f t="shared" si="36"/>
        <v/>
      </c>
      <c r="M56" s="1" t="str">
        <f t="shared" si="37"/>
        <v/>
      </c>
      <c r="N56" s="1" t="str">
        <f t="shared" si="38"/>
        <v/>
      </c>
      <c r="O56" s="1" t="str">
        <f t="shared" si="39"/>
        <v/>
      </c>
      <c r="P56" s="1" t="str">
        <f t="shared" si="40"/>
        <v/>
      </c>
      <c r="Q56" s="1" t="str">
        <f t="shared" si="41"/>
        <v/>
      </c>
      <c r="R56" s="1" t="str">
        <f t="shared" si="42"/>
        <v/>
      </c>
      <c r="S56" s="1" t="str">
        <f t="shared" si="43"/>
        <v/>
      </c>
      <c r="T56" s="1">
        <f t="shared" si="44"/>
        <v>186.99943999999999</v>
      </c>
      <c r="U56" s="1" t="str">
        <f t="shared" si="45"/>
        <v/>
      </c>
      <c r="V56" s="1" t="str">
        <f t="shared" si="46"/>
        <v/>
      </c>
      <c r="W56" s="1" t="str">
        <f t="shared" si="47"/>
        <v/>
      </c>
      <c r="X56" s="1" t="str">
        <f t="shared" si="48"/>
        <v/>
      </c>
      <c r="Y56" s="1" t="str">
        <f t="shared" si="49"/>
        <v/>
      </c>
      <c r="Z56" s="1" t="str">
        <f t="shared" si="50"/>
        <v/>
      </c>
      <c r="AA56" s="1" t="str">
        <f t="shared" si="51"/>
        <v/>
      </c>
      <c r="AB56" s="1" t="str">
        <f t="shared" si="52"/>
        <v/>
      </c>
      <c r="AC56" s="1" t="str">
        <f t="shared" si="53"/>
        <v/>
      </c>
      <c r="AD56" s="1" t="str">
        <f t="shared" si="54"/>
        <v/>
      </c>
      <c r="AE56" s="1" t="str">
        <f t="shared" si="55"/>
        <v/>
      </c>
      <c r="AF56" s="1" t="str">
        <f t="shared" si="56"/>
        <v/>
      </c>
      <c r="AG56" s="1" t="str">
        <f t="shared" si="57"/>
        <v/>
      </c>
      <c r="AH56" s="1" t="str">
        <f t="shared" si="58"/>
        <v/>
      </c>
      <c r="AI56" s="1" t="str">
        <f t="shared" si="59"/>
        <v/>
      </c>
      <c r="AJ56" s="1" t="str">
        <f t="shared" si="60"/>
        <v/>
      </c>
      <c r="AK56" s="1" t="str">
        <f t="shared" si="61"/>
        <v/>
      </c>
      <c r="AL56" s="1" t="str">
        <f t="shared" si="62"/>
        <v/>
      </c>
      <c r="AM56" s="1" t="str">
        <f t="shared" si="63"/>
        <v/>
      </c>
      <c r="AN56" s="1" t="str">
        <f t="shared" si="64"/>
        <v/>
      </c>
      <c r="AO56" s="1" t="str">
        <f t="shared" si="65"/>
        <v/>
      </c>
      <c r="AP56" s="1" t="str">
        <f t="shared" si="66"/>
        <v/>
      </c>
      <c r="AQ56" s="1" t="str">
        <f t="shared" si="67"/>
        <v/>
      </c>
      <c r="AR56" s="1">
        <f t="shared" si="68"/>
        <v>186.99943999999999</v>
      </c>
      <c r="AS56" s="1" t="str">
        <f t="shared" si="69"/>
        <v/>
      </c>
      <c r="AT56" s="1" t="str">
        <f t="shared" si="70"/>
        <v/>
      </c>
      <c r="AU56" s="1" t="str">
        <f t="shared" si="71"/>
        <v/>
      </c>
    </row>
    <row r="57" spans="1:47" ht="19" customHeight="1" x14ac:dyDescent="0.3">
      <c r="A57" s="57" t="s">
        <v>88</v>
      </c>
      <c r="B57" s="57"/>
      <c r="C57" s="57"/>
      <c r="D57" s="89">
        <f>持有情况!AJ58-ROW()*0.00001</f>
        <v>181.99942999999999</v>
      </c>
      <c r="E57" s="89">
        <v>1</v>
      </c>
      <c r="F57" s="89">
        <v>1</v>
      </c>
      <c r="G57" s="89">
        <v>1</v>
      </c>
      <c r="H57" s="89">
        <v>1</v>
      </c>
      <c r="I57" s="84" t="s">
        <v>315</v>
      </c>
      <c r="J57" s="89">
        <f>IF(路线!C6="计算",INT(45+5*路线!B30+13*路线!B15+30+20)-ROW()*0.00001,INT(45+5*路线!B30+13*路线!B15+30)-ROW()*0.00001)</f>
        <v>181.99942999999999</v>
      </c>
      <c r="L57" s="1">
        <f t="shared" si="36"/>
        <v>181.99942999999999</v>
      </c>
      <c r="M57" s="1" t="str">
        <f t="shared" si="37"/>
        <v/>
      </c>
      <c r="N57" s="1" t="str">
        <f t="shared" si="38"/>
        <v/>
      </c>
      <c r="O57" s="1" t="str">
        <f t="shared" si="39"/>
        <v/>
      </c>
      <c r="P57" s="1" t="str">
        <f t="shared" si="40"/>
        <v/>
      </c>
      <c r="Q57" s="1" t="str">
        <f t="shared" si="41"/>
        <v/>
      </c>
      <c r="R57" s="1" t="str">
        <f t="shared" si="42"/>
        <v/>
      </c>
      <c r="S57" s="1" t="str">
        <f t="shared" si="43"/>
        <v/>
      </c>
      <c r="T57" s="1" t="str">
        <f t="shared" si="44"/>
        <v/>
      </c>
      <c r="U57" s="1">
        <f t="shared" si="45"/>
        <v>181.99942999999999</v>
      </c>
      <c r="V57" s="1" t="str">
        <f t="shared" si="46"/>
        <v/>
      </c>
      <c r="W57" s="1" t="str">
        <f t="shared" si="47"/>
        <v/>
      </c>
      <c r="X57" s="1" t="str">
        <f t="shared" si="48"/>
        <v/>
      </c>
      <c r="Y57" s="1" t="str">
        <f t="shared" si="49"/>
        <v/>
      </c>
      <c r="Z57" s="1" t="str">
        <f t="shared" si="50"/>
        <v/>
      </c>
      <c r="AA57" s="1" t="str">
        <f t="shared" si="51"/>
        <v/>
      </c>
      <c r="AB57" s="1" t="str">
        <f t="shared" si="52"/>
        <v/>
      </c>
      <c r="AC57" s="1" t="str">
        <f t="shared" si="53"/>
        <v/>
      </c>
      <c r="AD57" s="1" t="str">
        <f t="shared" si="54"/>
        <v/>
      </c>
      <c r="AE57" s="1" t="str">
        <f t="shared" si="55"/>
        <v/>
      </c>
      <c r="AF57" s="1" t="str">
        <f t="shared" si="56"/>
        <v/>
      </c>
      <c r="AG57" s="1">
        <f t="shared" si="57"/>
        <v>181.99942999999999</v>
      </c>
      <c r="AH57" s="1" t="str">
        <f t="shared" si="58"/>
        <v/>
      </c>
      <c r="AI57" s="1" t="str">
        <f t="shared" si="59"/>
        <v/>
      </c>
      <c r="AJ57" s="1" t="str">
        <f t="shared" si="60"/>
        <v/>
      </c>
      <c r="AK57" s="1" t="str">
        <f t="shared" si="61"/>
        <v/>
      </c>
      <c r="AL57" s="1" t="str">
        <f t="shared" si="62"/>
        <v/>
      </c>
      <c r="AM57" s="1" t="str">
        <f t="shared" si="63"/>
        <v/>
      </c>
      <c r="AN57" s="1" t="str">
        <f t="shared" si="64"/>
        <v/>
      </c>
      <c r="AO57" s="1" t="str">
        <f t="shared" si="65"/>
        <v/>
      </c>
      <c r="AP57" s="1" t="str">
        <f t="shared" si="66"/>
        <v/>
      </c>
      <c r="AQ57" s="1" t="str">
        <f t="shared" si="67"/>
        <v/>
      </c>
      <c r="AR57" s="1" t="str">
        <f t="shared" si="68"/>
        <v/>
      </c>
      <c r="AS57" s="1" t="str">
        <f t="shared" si="69"/>
        <v/>
      </c>
      <c r="AT57" s="1" t="str">
        <f t="shared" si="70"/>
        <v/>
      </c>
      <c r="AU57" s="1" t="str">
        <f t="shared" si="71"/>
        <v/>
      </c>
    </row>
    <row r="58" spans="1:47" ht="19" customHeight="1" x14ac:dyDescent="0.3">
      <c r="A58" s="75" t="s">
        <v>128</v>
      </c>
      <c r="B58" s="75"/>
      <c r="C58" s="75"/>
      <c r="D58" s="89">
        <f>持有情况!AT94-ROW()*0.00001</f>
        <v>192.99941999999999</v>
      </c>
      <c r="E58" s="89">
        <v>2</v>
      </c>
      <c r="F58" s="90">
        <v>0</v>
      </c>
      <c r="G58" s="89">
        <v>2</v>
      </c>
      <c r="H58" s="89">
        <v>1</v>
      </c>
      <c r="I58" s="84" t="s">
        <v>316</v>
      </c>
      <c r="J58" s="89">
        <f>IF(路线!C6="计算",INT(45+6*路线!B29+3*路线!B27+5*路线!B30+30+20)-ROW()*0.00001,INT(45+6*路线!B29+3*路线!B27+5*路线!B30+30)-ROW()*0.00001)</f>
        <v>192.99941999999999</v>
      </c>
      <c r="L58" s="1" t="str">
        <f t="shared" si="36"/>
        <v/>
      </c>
      <c r="M58" s="1" t="str">
        <f t="shared" si="37"/>
        <v/>
      </c>
      <c r="N58" s="1" t="str">
        <f t="shared" si="38"/>
        <v/>
      </c>
      <c r="O58" s="1" t="str">
        <f t="shared" si="39"/>
        <v/>
      </c>
      <c r="P58" s="1">
        <f t="shared" si="40"/>
        <v>192.99941999999999</v>
      </c>
      <c r="Q58" s="1" t="str">
        <f t="shared" si="41"/>
        <v/>
      </c>
      <c r="R58" s="1" t="str">
        <f t="shared" si="42"/>
        <v/>
      </c>
      <c r="S58" s="1" t="str">
        <f t="shared" si="43"/>
        <v/>
      </c>
      <c r="T58" s="1" t="str">
        <f t="shared" si="44"/>
        <v/>
      </c>
      <c r="U58" s="1" t="str">
        <f t="shared" si="45"/>
        <v/>
      </c>
      <c r="V58" s="1" t="str">
        <f t="shared" si="46"/>
        <v/>
      </c>
      <c r="W58" s="1" t="str">
        <f t="shared" si="47"/>
        <v/>
      </c>
      <c r="X58" s="1" t="str">
        <f t="shared" si="48"/>
        <v/>
      </c>
      <c r="Y58" s="1" t="str">
        <f t="shared" si="49"/>
        <v/>
      </c>
      <c r="Z58" s="1" t="str">
        <f t="shared" si="50"/>
        <v/>
      </c>
      <c r="AA58" s="1" t="str">
        <f t="shared" si="51"/>
        <v/>
      </c>
      <c r="AB58" s="1" t="str">
        <f t="shared" si="52"/>
        <v/>
      </c>
      <c r="AC58" s="1" t="str">
        <f t="shared" si="53"/>
        <v/>
      </c>
      <c r="AD58" s="1" t="str">
        <f t="shared" si="54"/>
        <v/>
      </c>
      <c r="AE58" s="1" t="str">
        <f t="shared" si="55"/>
        <v/>
      </c>
      <c r="AF58" s="1" t="str">
        <f t="shared" si="56"/>
        <v/>
      </c>
      <c r="AG58" s="1" t="str">
        <f t="shared" si="57"/>
        <v/>
      </c>
      <c r="AH58" s="1" t="str">
        <f t="shared" si="58"/>
        <v/>
      </c>
      <c r="AI58" s="1" t="str">
        <f t="shared" si="59"/>
        <v/>
      </c>
      <c r="AJ58" s="1" t="str">
        <f t="shared" si="60"/>
        <v/>
      </c>
      <c r="AK58" s="1">
        <f t="shared" si="61"/>
        <v>192.99941999999999</v>
      </c>
      <c r="AL58" s="1" t="str">
        <f t="shared" si="62"/>
        <v/>
      </c>
      <c r="AM58" s="1" t="str">
        <f t="shared" si="63"/>
        <v/>
      </c>
      <c r="AN58" s="1" t="str">
        <f t="shared" si="64"/>
        <v/>
      </c>
      <c r="AO58" s="1" t="str">
        <f t="shared" si="65"/>
        <v/>
      </c>
      <c r="AP58" s="1" t="str">
        <f t="shared" si="66"/>
        <v/>
      </c>
      <c r="AQ58" s="1" t="str">
        <f t="shared" si="67"/>
        <v/>
      </c>
      <c r="AR58" s="1" t="str">
        <f t="shared" si="68"/>
        <v/>
      </c>
      <c r="AS58" s="1" t="str">
        <f t="shared" si="69"/>
        <v/>
      </c>
      <c r="AT58" s="1" t="str">
        <f t="shared" si="70"/>
        <v/>
      </c>
      <c r="AU58" s="1" t="str">
        <f t="shared" si="71"/>
        <v/>
      </c>
    </row>
    <row r="59" spans="1:47" ht="19" customHeight="1" x14ac:dyDescent="0.3">
      <c r="A59" s="75" t="s">
        <v>82</v>
      </c>
      <c r="B59" s="75"/>
      <c r="C59" s="75"/>
      <c r="D59" s="89">
        <f>持有情况!AT52-ROW()*0.00001</f>
        <v>251.99941000000001</v>
      </c>
      <c r="E59" s="89">
        <v>2</v>
      </c>
      <c r="F59" s="90">
        <v>0</v>
      </c>
      <c r="G59" s="89">
        <v>2</v>
      </c>
      <c r="H59" s="89">
        <v>1</v>
      </c>
      <c r="I59" s="84" t="s">
        <v>317</v>
      </c>
      <c r="J59" s="89">
        <f>INT((6.4/100)*路线!B11+8*路线!B35+11*路线!B34+13*路线!B15+30)-ROW()*0.00001</f>
        <v>251.99941000000001</v>
      </c>
      <c r="L59" s="1" t="str">
        <f t="shared" si="36"/>
        <v/>
      </c>
      <c r="M59" s="1" t="str">
        <f t="shared" si="37"/>
        <v/>
      </c>
      <c r="N59" s="1" t="str">
        <f t="shared" si="38"/>
        <v/>
      </c>
      <c r="O59" s="1" t="str">
        <f t="shared" si="39"/>
        <v/>
      </c>
      <c r="P59" s="1">
        <f t="shared" si="40"/>
        <v>251.99941000000001</v>
      </c>
      <c r="Q59" s="1" t="str">
        <f t="shared" si="41"/>
        <v/>
      </c>
      <c r="R59" s="1" t="str">
        <f t="shared" si="42"/>
        <v/>
      </c>
      <c r="S59" s="1" t="str">
        <f t="shared" si="43"/>
        <v/>
      </c>
      <c r="T59" s="1" t="str">
        <f t="shared" si="44"/>
        <v/>
      </c>
      <c r="U59" s="1" t="str">
        <f t="shared" si="45"/>
        <v/>
      </c>
      <c r="V59" s="1" t="str">
        <f t="shared" si="46"/>
        <v/>
      </c>
      <c r="W59" s="1" t="str">
        <f t="shared" si="47"/>
        <v/>
      </c>
      <c r="X59" s="1" t="str">
        <f t="shared" si="48"/>
        <v/>
      </c>
      <c r="Y59" s="1" t="str">
        <f t="shared" si="49"/>
        <v/>
      </c>
      <c r="Z59" s="1" t="str">
        <f t="shared" si="50"/>
        <v/>
      </c>
      <c r="AA59" s="1" t="str">
        <f t="shared" si="51"/>
        <v/>
      </c>
      <c r="AB59" s="1" t="str">
        <f t="shared" si="52"/>
        <v/>
      </c>
      <c r="AC59" s="1" t="str">
        <f t="shared" si="53"/>
        <v/>
      </c>
      <c r="AD59" s="1" t="str">
        <f t="shared" si="54"/>
        <v/>
      </c>
      <c r="AE59" s="1" t="str">
        <f t="shared" si="55"/>
        <v/>
      </c>
      <c r="AF59" s="1" t="str">
        <f t="shared" si="56"/>
        <v/>
      </c>
      <c r="AG59" s="1" t="str">
        <f t="shared" si="57"/>
        <v/>
      </c>
      <c r="AH59" s="1" t="str">
        <f t="shared" si="58"/>
        <v/>
      </c>
      <c r="AI59" s="1" t="str">
        <f t="shared" si="59"/>
        <v/>
      </c>
      <c r="AJ59" s="1" t="str">
        <f t="shared" si="60"/>
        <v/>
      </c>
      <c r="AK59" s="1">
        <f t="shared" si="61"/>
        <v>251.99941000000001</v>
      </c>
      <c r="AL59" s="1" t="str">
        <f t="shared" si="62"/>
        <v/>
      </c>
      <c r="AM59" s="1" t="str">
        <f t="shared" si="63"/>
        <v/>
      </c>
      <c r="AN59" s="1" t="str">
        <f t="shared" si="64"/>
        <v/>
      </c>
      <c r="AO59" s="1" t="str">
        <f t="shared" si="65"/>
        <v/>
      </c>
      <c r="AP59" s="1" t="str">
        <f t="shared" si="66"/>
        <v/>
      </c>
      <c r="AQ59" s="1" t="str">
        <f t="shared" si="67"/>
        <v/>
      </c>
      <c r="AR59" s="1" t="str">
        <f t="shared" si="68"/>
        <v/>
      </c>
      <c r="AS59" s="1" t="str">
        <f t="shared" si="69"/>
        <v/>
      </c>
      <c r="AT59" s="1" t="str">
        <f t="shared" si="70"/>
        <v/>
      </c>
      <c r="AU59" s="1" t="str">
        <f t="shared" si="71"/>
        <v/>
      </c>
    </row>
    <row r="60" spans="1:47" ht="19" customHeight="1" x14ac:dyDescent="0.3">
      <c r="A60" s="57" t="s">
        <v>41</v>
      </c>
      <c r="B60" s="57"/>
      <c r="C60" s="57"/>
      <c r="D60" s="89">
        <f>持有情况!F22-ROW()*0.00001</f>
        <v>175.99940000000001</v>
      </c>
      <c r="E60" s="90">
        <v>0</v>
      </c>
      <c r="F60" s="90">
        <v>0</v>
      </c>
      <c r="G60" s="89">
        <v>1</v>
      </c>
      <c r="H60" s="89">
        <v>1</v>
      </c>
      <c r="I60" s="84" t="s">
        <v>318</v>
      </c>
      <c r="J60" s="89">
        <f>IF(路线!C6="计算",INT((8.5/100)*路线!B11+6*路线!B14+4*(路线!B28+路线!B29)+40+20)-ROW()*0.00001,INT((8.5/100)*路线!B11+6*路线!B14+4*(路线!B28+路线!B29)+40)-ROW()*0.00001)</f>
        <v>175.99940000000001</v>
      </c>
      <c r="L60" s="1">
        <f t="shared" si="36"/>
        <v>175.99940000000001</v>
      </c>
      <c r="M60" s="1">
        <f t="shared" si="37"/>
        <v>175.99940000000001</v>
      </c>
      <c r="N60" s="1">
        <f t="shared" si="38"/>
        <v>175.99940000000001</v>
      </c>
      <c r="O60" s="1" t="str">
        <f t="shared" si="39"/>
        <v/>
      </c>
      <c r="P60" s="1" t="str">
        <f t="shared" si="40"/>
        <v/>
      </c>
      <c r="Q60" s="1" t="str">
        <f t="shared" si="41"/>
        <v/>
      </c>
      <c r="R60" s="1" t="str">
        <f t="shared" si="42"/>
        <v/>
      </c>
      <c r="S60" s="1" t="str">
        <f t="shared" si="43"/>
        <v/>
      </c>
      <c r="T60" s="1" t="str">
        <f t="shared" si="44"/>
        <v/>
      </c>
      <c r="U60" s="1" t="str">
        <f t="shared" si="45"/>
        <v/>
      </c>
      <c r="V60" s="1" t="str">
        <f t="shared" si="46"/>
        <v/>
      </c>
      <c r="W60" s="1" t="str">
        <f t="shared" si="47"/>
        <v/>
      </c>
      <c r="X60" s="1" t="str">
        <f t="shared" si="48"/>
        <v/>
      </c>
      <c r="Y60" s="1" t="str">
        <f t="shared" si="49"/>
        <v/>
      </c>
      <c r="Z60" s="1" t="str">
        <f t="shared" si="50"/>
        <v/>
      </c>
      <c r="AA60" s="1" t="str">
        <f t="shared" si="51"/>
        <v/>
      </c>
      <c r="AB60" s="1" t="str">
        <f t="shared" si="52"/>
        <v/>
      </c>
      <c r="AC60" s="1" t="str">
        <f t="shared" si="53"/>
        <v/>
      </c>
      <c r="AD60" s="1">
        <f t="shared" si="54"/>
        <v>175.99940000000001</v>
      </c>
      <c r="AE60" s="1" t="str">
        <f t="shared" si="55"/>
        <v/>
      </c>
      <c r="AF60" s="1" t="str">
        <f t="shared" si="56"/>
        <v/>
      </c>
      <c r="AG60" s="1" t="str">
        <f t="shared" si="57"/>
        <v/>
      </c>
      <c r="AH60" s="1" t="str">
        <f t="shared" si="58"/>
        <v/>
      </c>
      <c r="AI60" s="1" t="str">
        <f t="shared" si="59"/>
        <v/>
      </c>
      <c r="AJ60" s="1">
        <f t="shared" si="60"/>
        <v>175.99940000000001</v>
      </c>
      <c r="AK60" s="1" t="str">
        <f t="shared" si="61"/>
        <v/>
      </c>
      <c r="AL60" s="1" t="str">
        <f t="shared" si="62"/>
        <v/>
      </c>
      <c r="AM60" s="1" t="str">
        <f t="shared" si="63"/>
        <v/>
      </c>
      <c r="AN60" s="1" t="str">
        <f t="shared" si="64"/>
        <v/>
      </c>
      <c r="AO60" s="1" t="str">
        <f t="shared" si="65"/>
        <v/>
      </c>
      <c r="AP60" s="1">
        <f t="shared" si="66"/>
        <v>175.99940000000001</v>
      </c>
      <c r="AQ60" s="1" t="str">
        <f t="shared" si="67"/>
        <v/>
      </c>
      <c r="AR60" s="1" t="str">
        <f t="shared" si="68"/>
        <v/>
      </c>
      <c r="AS60" s="1" t="str">
        <f t="shared" si="69"/>
        <v/>
      </c>
      <c r="AT60" s="1" t="str">
        <f t="shared" si="70"/>
        <v/>
      </c>
      <c r="AU60" s="1" t="str">
        <f t="shared" si="71"/>
        <v/>
      </c>
    </row>
    <row r="61" spans="1:47" ht="19" customHeight="1" x14ac:dyDescent="0.3">
      <c r="A61" s="57" t="s">
        <v>51</v>
      </c>
      <c r="B61" s="57"/>
      <c r="C61" s="57"/>
      <c r="D61" s="89">
        <f>持有情况!AJ28-ROW()*0.00001</f>
        <v>155.99939000000001</v>
      </c>
      <c r="E61" s="90">
        <v>0</v>
      </c>
      <c r="F61" s="89">
        <v>1</v>
      </c>
      <c r="G61" s="89">
        <v>1</v>
      </c>
      <c r="H61" s="90">
        <v>0</v>
      </c>
      <c r="I61" s="1"/>
      <c r="J61" s="89">
        <f>INT((6.4/100)*路线!B11+17+13*路线!B15+30)-ROW()*0.00001</f>
        <v>155.99939000000001</v>
      </c>
      <c r="L61" s="1">
        <f t="shared" si="36"/>
        <v>155.99939000000001</v>
      </c>
      <c r="M61" s="1">
        <f t="shared" si="37"/>
        <v>155.99939000000001</v>
      </c>
      <c r="N61" s="1">
        <f t="shared" si="38"/>
        <v>155.99939000000001</v>
      </c>
      <c r="O61" s="1" t="str">
        <f t="shared" si="39"/>
        <v/>
      </c>
      <c r="P61" s="1" t="str">
        <f t="shared" si="40"/>
        <v/>
      </c>
      <c r="Q61" s="1" t="str">
        <f t="shared" si="41"/>
        <v/>
      </c>
      <c r="R61" s="1" t="str">
        <f t="shared" si="42"/>
        <v/>
      </c>
      <c r="S61" s="1" t="str">
        <f t="shared" si="43"/>
        <v/>
      </c>
      <c r="T61" s="1" t="str">
        <f t="shared" si="44"/>
        <v/>
      </c>
      <c r="U61" s="1">
        <f t="shared" si="45"/>
        <v>155.99939000000001</v>
      </c>
      <c r="V61" s="1" t="str">
        <f t="shared" si="46"/>
        <v/>
      </c>
      <c r="W61" s="1" t="str">
        <f t="shared" si="47"/>
        <v/>
      </c>
      <c r="X61" s="1">
        <f t="shared" si="48"/>
        <v>155.99939000000001</v>
      </c>
      <c r="Y61" s="1" t="str">
        <f t="shared" si="49"/>
        <v/>
      </c>
      <c r="Z61" s="1" t="str">
        <f t="shared" si="50"/>
        <v/>
      </c>
      <c r="AA61" s="1">
        <f t="shared" si="51"/>
        <v>155.99939000000001</v>
      </c>
      <c r="AB61" s="1" t="str">
        <f t="shared" si="52"/>
        <v/>
      </c>
      <c r="AC61" s="1" t="str">
        <f t="shared" si="53"/>
        <v/>
      </c>
      <c r="AD61" s="1" t="str">
        <f t="shared" si="54"/>
        <v/>
      </c>
      <c r="AE61" s="1" t="str">
        <f t="shared" si="55"/>
        <v/>
      </c>
      <c r="AF61" s="1" t="str">
        <f t="shared" si="56"/>
        <v/>
      </c>
      <c r="AG61" s="1">
        <f t="shared" si="57"/>
        <v>155.99939000000001</v>
      </c>
      <c r="AH61" s="1" t="str">
        <f t="shared" si="58"/>
        <v/>
      </c>
      <c r="AI61" s="1" t="str">
        <f t="shared" si="59"/>
        <v/>
      </c>
      <c r="AJ61" s="1" t="str">
        <f t="shared" si="60"/>
        <v/>
      </c>
      <c r="AK61" s="1" t="str">
        <f t="shared" si="61"/>
        <v/>
      </c>
      <c r="AL61" s="1" t="str">
        <f t="shared" si="62"/>
        <v/>
      </c>
      <c r="AM61" s="1">
        <f t="shared" si="63"/>
        <v>155.99939000000001</v>
      </c>
      <c r="AN61" s="1" t="str">
        <f t="shared" si="64"/>
        <v/>
      </c>
      <c r="AO61" s="1" t="str">
        <f t="shared" si="65"/>
        <v/>
      </c>
      <c r="AP61" s="1" t="str">
        <f t="shared" si="66"/>
        <v/>
      </c>
      <c r="AQ61" s="1" t="str">
        <f t="shared" si="67"/>
        <v/>
      </c>
      <c r="AR61" s="1" t="str">
        <f t="shared" si="68"/>
        <v/>
      </c>
      <c r="AS61" s="1">
        <f t="shared" si="69"/>
        <v>155.99939000000001</v>
      </c>
      <c r="AT61" s="1" t="str">
        <f t="shared" si="70"/>
        <v/>
      </c>
      <c r="AU61" s="1" t="str">
        <f t="shared" si="71"/>
        <v/>
      </c>
    </row>
    <row r="62" spans="1:47" ht="19" customHeight="1" x14ac:dyDescent="0.3">
      <c r="A62" s="75" t="s">
        <v>34</v>
      </c>
      <c r="B62" s="75"/>
      <c r="C62" s="75"/>
      <c r="D62" s="89">
        <f>持有情况!AT16-ROW()*0.00001</f>
        <v>155.99938</v>
      </c>
      <c r="E62" s="90">
        <v>0</v>
      </c>
      <c r="F62" s="89">
        <v>1</v>
      </c>
      <c r="G62" s="89">
        <v>2</v>
      </c>
      <c r="H62" s="90">
        <v>0</v>
      </c>
      <c r="I62" s="1"/>
      <c r="J62" s="89">
        <f>INT((6.4/100)*路线!B11+17+13*路线!B15+30)-ROW()*0.00001</f>
        <v>155.99938</v>
      </c>
      <c r="L62" s="1" t="str">
        <f t="shared" si="36"/>
        <v/>
      </c>
      <c r="M62" s="1" t="str">
        <f t="shared" si="37"/>
        <v/>
      </c>
      <c r="N62" s="1" t="str">
        <f t="shared" si="38"/>
        <v/>
      </c>
      <c r="O62" s="1">
        <f t="shared" si="39"/>
        <v>155.99938</v>
      </c>
      <c r="P62" s="1">
        <f t="shared" si="40"/>
        <v>155.99938</v>
      </c>
      <c r="Q62" s="1">
        <f t="shared" si="41"/>
        <v>155.99938</v>
      </c>
      <c r="R62" s="1" t="str">
        <f t="shared" si="42"/>
        <v/>
      </c>
      <c r="S62" s="1" t="str">
        <f t="shared" si="43"/>
        <v/>
      </c>
      <c r="T62" s="1" t="str">
        <f t="shared" si="44"/>
        <v/>
      </c>
      <c r="U62" s="1" t="str">
        <f t="shared" si="45"/>
        <v/>
      </c>
      <c r="V62" s="1">
        <f t="shared" si="46"/>
        <v>155.99938</v>
      </c>
      <c r="W62" s="1" t="str">
        <f t="shared" si="47"/>
        <v/>
      </c>
      <c r="X62" s="1" t="str">
        <f t="shared" si="48"/>
        <v/>
      </c>
      <c r="Y62" s="1">
        <f t="shared" si="49"/>
        <v>155.99938</v>
      </c>
      <c r="Z62" s="1" t="str">
        <f t="shared" si="50"/>
        <v/>
      </c>
      <c r="AA62" s="1" t="str">
        <f t="shared" si="51"/>
        <v/>
      </c>
      <c r="AB62" s="1">
        <f t="shared" si="52"/>
        <v>155.99938</v>
      </c>
      <c r="AC62" s="1" t="str">
        <f t="shared" si="53"/>
        <v/>
      </c>
      <c r="AD62" s="1" t="str">
        <f t="shared" si="54"/>
        <v/>
      </c>
      <c r="AE62" s="1" t="str">
        <f t="shared" si="55"/>
        <v/>
      </c>
      <c r="AF62" s="1" t="str">
        <f t="shared" si="56"/>
        <v/>
      </c>
      <c r="AG62" s="1" t="str">
        <f t="shared" si="57"/>
        <v/>
      </c>
      <c r="AH62" s="1">
        <f t="shared" si="58"/>
        <v>155.99938</v>
      </c>
      <c r="AI62" s="1" t="str">
        <f t="shared" si="59"/>
        <v/>
      </c>
      <c r="AJ62" s="1" t="str">
        <f t="shared" si="60"/>
        <v/>
      </c>
      <c r="AK62" s="1" t="str">
        <f t="shared" si="61"/>
        <v/>
      </c>
      <c r="AL62" s="1" t="str">
        <f t="shared" si="62"/>
        <v/>
      </c>
      <c r="AM62" s="1" t="str">
        <f t="shared" si="63"/>
        <v/>
      </c>
      <c r="AN62" s="1">
        <f t="shared" si="64"/>
        <v>155.99938</v>
      </c>
      <c r="AO62" s="1" t="str">
        <f t="shared" si="65"/>
        <v/>
      </c>
      <c r="AP62" s="1" t="str">
        <f t="shared" si="66"/>
        <v/>
      </c>
      <c r="AQ62" s="1" t="str">
        <f t="shared" si="67"/>
        <v/>
      </c>
      <c r="AR62" s="1" t="str">
        <f t="shared" si="68"/>
        <v/>
      </c>
      <c r="AS62" s="1" t="str">
        <f t="shared" si="69"/>
        <v/>
      </c>
      <c r="AT62" s="1">
        <f t="shared" si="70"/>
        <v>155.99938</v>
      </c>
      <c r="AU62" s="1" t="str">
        <f t="shared" si="71"/>
        <v/>
      </c>
    </row>
    <row r="63" spans="1:47" ht="19" customHeight="1" x14ac:dyDescent="0.3">
      <c r="A63" s="67" t="s">
        <v>53</v>
      </c>
      <c r="B63" s="67"/>
      <c r="C63" s="67"/>
      <c r="D63" s="89">
        <f>持有情况!BD28-ROW()*0.00001</f>
        <v>175.99937</v>
      </c>
      <c r="E63" s="90">
        <v>0</v>
      </c>
      <c r="F63" s="89">
        <v>1</v>
      </c>
      <c r="G63" s="89">
        <v>3</v>
      </c>
      <c r="H63" s="89">
        <v>1</v>
      </c>
      <c r="I63" s="84" t="s">
        <v>319</v>
      </c>
      <c r="J63" s="89">
        <f>IF(路线!C6="计算",INT((6.4/100)*路线!B11+17+13*路线!B15+30+20)-ROW()*0.00001,INT((6.4/100)*路线!B11+17+13*路线!B15+30)-ROW()*0.00001)</f>
        <v>175.99937</v>
      </c>
      <c r="L63" s="1" t="str">
        <f t="shared" si="36"/>
        <v/>
      </c>
      <c r="M63" s="1" t="str">
        <f t="shared" si="37"/>
        <v/>
      </c>
      <c r="N63" s="1" t="str">
        <f t="shared" si="38"/>
        <v/>
      </c>
      <c r="O63" s="1" t="str">
        <f t="shared" si="39"/>
        <v/>
      </c>
      <c r="P63" s="1" t="str">
        <f t="shared" si="40"/>
        <v/>
      </c>
      <c r="Q63" s="1" t="str">
        <f t="shared" si="41"/>
        <v/>
      </c>
      <c r="R63" s="1">
        <f t="shared" si="42"/>
        <v>175.99937</v>
      </c>
      <c r="S63" s="1">
        <f t="shared" si="43"/>
        <v>175.99937</v>
      </c>
      <c r="T63" s="1">
        <f t="shared" si="44"/>
        <v>175.99937</v>
      </c>
      <c r="U63" s="1" t="str">
        <f t="shared" si="45"/>
        <v/>
      </c>
      <c r="V63" s="1" t="str">
        <f t="shared" si="46"/>
        <v/>
      </c>
      <c r="W63" s="1">
        <f t="shared" si="47"/>
        <v>175.99937</v>
      </c>
      <c r="X63" s="1" t="str">
        <f t="shared" si="48"/>
        <v/>
      </c>
      <c r="Y63" s="1" t="str">
        <f t="shared" si="49"/>
        <v/>
      </c>
      <c r="Z63" s="1">
        <f t="shared" si="50"/>
        <v>175.99937</v>
      </c>
      <c r="AA63" s="1" t="str">
        <f t="shared" si="51"/>
        <v/>
      </c>
      <c r="AB63" s="1" t="str">
        <f t="shared" si="52"/>
        <v/>
      </c>
      <c r="AC63" s="1">
        <f t="shared" si="53"/>
        <v>175.99937</v>
      </c>
      <c r="AD63" s="1" t="str">
        <f t="shared" si="54"/>
        <v/>
      </c>
      <c r="AE63" s="1" t="str">
        <f t="shared" si="55"/>
        <v/>
      </c>
      <c r="AF63" s="1" t="str">
        <f t="shared" si="56"/>
        <v/>
      </c>
      <c r="AG63" s="1" t="str">
        <f t="shared" si="57"/>
        <v/>
      </c>
      <c r="AH63" s="1" t="str">
        <f t="shared" si="58"/>
        <v/>
      </c>
      <c r="AI63" s="1">
        <f t="shared" si="59"/>
        <v>175.99937</v>
      </c>
      <c r="AJ63" s="1" t="str">
        <f t="shared" si="60"/>
        <v/>
      </c>
      <c r="AK63" s="1" t="str">
        <f t="shared" si="61"/>
        <v/>
      </c>
      <c r="AL63" s="1" t="str">
        <f t="shared" si="62"/>
        <v/>
      </c>
      <c r="AM63" s="1" t="str">
        <f t="shared" si="63"/>
        <v/>
      </c>
      <c r="AN63" s="1" t="str">
        <f t="shared" si="64"/>
        <v/>
      </c>
      <c r="AO63" s="1">
        <f t="shared" si="65"/>
        <v>175.99937</v>
      </c>
      <c r="AP63" s="1" t="str">
        <f t="shared" si="66"/>
        <v/>
      </c>
      <c r="AQ63" s="1" t="str">
        <f t="shared" si="67"/>
        <v/>
      </c>
      <c r="AR63" s="1" t="str">
        <f t="shared" si="68"/>
        <v/>
      </c>
      <c r="AS63" s="1" t="str">
        <f t="shared" si="69"/>
        <v/>
      </c>
      <c r="AT63" s="1" t="str">
        <f t="shared" si="70"/>
        <v/>
      </c>
      <c r="AU63" s="1">
        <f t="shared" si="71"/>
        <v>175.99937</v>
      </c>
    </row>
    <row r="64" spans="1:47" ht="19" customHeight="1" x14ac:dyDescent="0.3">
      <c r="A64" s="57" t="s">
        <v>26</v>
      </c>
      <c r="B64" s="57"/>
      <c r="C64" s="57"/>
      <c r="D64" s="89">
        <f>IF(路线!B4="计算",持有情况!AM10,持有情况!AJ10)-ROW()*0.00001</f>
        <v>161.99936</v>
      </c>
      <c r="E64" s="90">
        <v>0</v>
      </c>
      <c r="F64" s="90">
        <v>0</v>
      </c>
      <c r="G64" s="89">
        <v>1</v>
      </c>
      <c r="H64" s="90">
        <v>0</v>
      </c>
      <c r="I64" s="1"/>
      <c r="J64" s="89">
        <f>IF(路线!B4="计算",INT(45+8*路线!B33+4*路线!B14+30+持有情况!AM9),INT(45+8*路线!B33+4*路线!B14+30))-ROW()*0.00001</f>
        <v>161.99936</v>
      </c>
      <c r="L64" s="1">
        <f t="shared" si="36"/>
        <v>161.99936</v>
      </c>
      <c r="M64" s="1">
        <f t="shared" si="37"/>
        <v>161.99936</v>
      </c>
      <c r="N64" s="1">
        <f t="shared" si="38"/>
        <v>161.99936</v>
      </c>
      <c r="O64" s="1" t="str">
        <f t="shared" si="39"/>
        <v/>
      </c>
      <c r="P64" s="1" t="str">
        <f t="shared" si="40"/>
        <v/>
      </c>
      <c r="Q64" s="1" t="str">
        <f t="shared" si="41"/>
        <v/>
      </c>
      <c r="R64" s="1" t="str">
        <f t="shared" si="42"/>
        <v/>
      </c>
      <c r="S64" s="1" t="str">
        <f t="shared" si="43"/>
        <v/>
      </c>
      <c r="T64" s="1" t="str">
        <f t="shared" si="44"/>
        <v/>
      </c>
      <c r="U64" s="1" t="str">
        <f t="shared" si="45"/>
        <v/>
      </c>
      <c r="V64" s="1" t="str">
        <f t="shared" si="46"/>
        <v/>
      </c>
      <c r="W64" s="1" t="str">
        <f t="shared" si="47"/>
        <v/>
      </c>
      <c r="X64" s="1" t="str">
        <f t="shared" si="48"/>
        <v/>
      </c>
      <c r="Y64" s="1" t="str">
        <f t="shared" si="49"/>
        <v/>
      </c>
      <c r="Z64" s="1" t="str">
        <f t="shared" si="50"/>
        <v/>
      </c>
      <c r="AA64" s="1" t="str">
        <f t="shared" si="51"/>
        <v/>
      </c>
      <c r="AB64" s="1" t="str">
        <f t="shared" si="52"/>
        <v/>
      </c>
      <c r="AC64" s="1" t="str">
        <f t="shared" si="53"/>
        <v/>
      </c>
      <c r="AD64" s="1">
        <f t="shared" si="54"/>
        <v>161.99936</v>
      </c>
      <c r="AE64" s="1" t="str">
        <f t="shared" si="55"/>
        <v/>
      </c>
      <c r="AF64" s="1" t="str">
        <f t="shared" si="56"/>
        <v/>
      </c>
      <c r="AG64" s="1" t="str">
        <f t="shared" si="57"/>
        <v/>
      </c>
      <c r="AH64" s="1" t="str">
        <f t="shared" si="58"/>
        <v/>
      </c>
      <c r="AI64" s="1" t="str">
        <f t="shared" si="59"/>
        <v/>
      </c>
      <c r="AJ64" s="1">
        <f t="shared" si="60"/>
        <v>161.99936</v>
      </c>
      <c r="AK64" s="1" t="str">
        <f t="shared" si="61"/>
        <v/>
      </c>
      <c r="AL64" s="1" t="str">
        <f t="shared" si="62"/>
        <v/>
      </c>
      <c r="AM64" s="1" t="str">
        <f t="shared" si="63"/>
        <v/>
      </c>
      <c r="AN64" s="1" t="str">
        <f t="shared" si="64"/>
        <v/>
      </c>
      <c r="AO64" s="1" t="str">
        <f t="shared" si="65"/>
        <v/>
      </c>
      <c r="AP64" s="1">
        <f t="shared" si="66"/>
        <v>161.99936</v>
      </c>
      <c r="AQ64" s="1" t="str">
        <f t="shared" si="67"/>
        <v/>
      </c>
      <c r="AR64" s="1" t="str">
        <f t="shared" si="68"/>
        <v/>
      </c>
      <c r="AS64" s="1" t="str">
        <f t="shared" si="69"/>
        <v/>
      </c>
      <c r="AT64" s="1" t="str">
        <f t="shared" si="70"/>
        <v/>
      </c>
      <c r="AU64" s="1" t="str">
        <f t="shared" si="71"/>
        <v/>
      </c>
    </row>
    <row r="65" spans="1:47" ht="19" customHeight="1" x14ac:dyDescent="0.3">
      <c r="A65" s="75" t="s">
        <v>4</v>
      </c>
      <c r="B65" s="75"/>
      <c r="C65" s="75"/>
      <c r="D65" s="89">
        <f>IF(路线!B4="计算",持有情况!AW4,持有情况!AT4)-ROW()*0.00001</f>
        <v>161.99934999999999</v>
      </c>
      <c r="E65" s="90">
        <v>0</v>
      </c>
      <c r="F65" s="90">
        <v>0</v>
      </c>
      <c r="G65" s="89">
        <v>2</v>
      </c>
      <c r="H65" s="90">
        <v>0</v>
      </c>
      <c r="I65" s="1"/>
      <c r="J65" s="89">
        <f>IF(路线!B4="计算",INT(45+8*路线!B33+4*路线!B14+30+持有情况!AW3),INT(45+8*路线!B33+4*路线!B14+30))-ROW()*0.00001</f>
        <v>161.99934999999999</v>
      </c>
      <c r="L65" s="1" t="str">
        <f t="shared" si="36"/>
        <v/>
      </c>
      <c r="M65" s="1" t="str">
        <f t="shared" si="37"/>
        <v/>
      </c>
      <c r="N65" s="1" t="str">
        <f t="shared" si="38"/>
        <v/>
      </c>
      <c r="O65" s="1">
        <f t="shared" si="39"/>
        <v>161.99934999999999</v>
      </c>
      <c r="P65" s="1">
        <f t="shared" si="40"/>
        <v>161.99934999999999</v>
      </c>
      <c r="Q65" s="1">
        <f t="shared" si="41"/>
        <v>161.99934999999999</v>
      </c>
      <c r="R65" s="1" t="str">
        <f t="shared" si="42"/>
        <v/>
      </c>
      <c r="S65" s="1" t="str">
        <f t="shared" si="43"/>
        <v/>
      </c>
      <c r="T65" s="1" t="str">
        <f t="shared" si="44"/>
        <v/>
      </c>
      <c r="U65" s="1" t="str">
        <f t="shared" si="45"/>
        <v/>
      </c>
      <c r="V65" s="1" t="str">
        <f t="shared" si="46"/>
        <v/>
      </c>
      <c r="W65" s="1" t="str">
        <f t="shared" si="47"/>
        <v/>
      </c>
      <c r="X65" s="1" t="str">
        <f t="shared" si="48"/>
        <v/>
      </c>
      <c r="Y65" s="1" t="str">
        <f t="shared" si="49"/>
        <v/>
      </c>
      <c r="Z65" s="1" t="str">
        <f t="shared" si="50"/>
        <v/>
      </c>
      <c r="AA65" s="1" t="str">
        <f t="shared" si="51"/>
        <v/>
      </c>
      <c r="AB65" s="1" t="str">
        <f t="shared" si="52"/>
        <v/>
      </c>
      <c r="AC65" s="1" t="str">
        <f t="shared" si="53"/>
        <v/>
      </c>
      <c r="AD65" s="1" t="str">
        <f t="shared" si="54"/>
        <v/>
      </c>
      <c r="AE65" s="1">
        <f t="shared" si="55"/>
        <v>161.99934999999999</v>
      </c>
      <c r="AF65" s="1" t="str">
        <f t="shared" si="56"/>
        <v/>
      </c>
      <c r="AG65" s="1" t="str">
        <f t="shared" si="57"/>
        <v/>
      </c>
      <c r="AH65" s="1" t="str">
        <f t="shared" si="58"/>
        <v/>
      </c>
      <c r="AI65" s="1" t="str">
        <f t="shared" si="59"/>
        <v/>
      </c>
      <c r="AJ65" s="1" t="str">
        <f t="shared" si="60"/>
        <v/>
      </c>
      <c r="AK65" s="1">
        <f t="shared" si="61"/>
        <v>161.99934999999999</v>
      </c>
      <c r="AL65" s="1" t="str">
        <f t="shared" si="62"/>
        <v/>
      </c>
      <c r="AM65" s="1" t="str">
        <f t="shared" si="63"/>
        <v/>
      </c>
      <c r="AN65" s="1" t="str">
        <f t="shared" si="64"/>
        <v/>
      </c>
      <c r="AO65" s="1" t="str">
        <f t="shared" si="65"/>
        <v/>
      </c>
      <c r="AP65" s="1" t="str">
        <f t="shared" si="66"/>
        <v/>
      </c>
      <c r="AQ65" s="1">
        <f t="shared" si="67"/>
        <v>161.99934999999999</v>
      </c>
      <c r="AR65" s="1" t="str">
        <f t="shared" si="68"/>
        <v/>
      </c>
      <c r="AS65" s="1" t="str">
        <f t="shared" si="69"/>
        <v/>
      </c>
      <c r="AT65" s="1" t="str">
        <f t="shared" si="70"/>
        <v/>
      </c>
      <c r="AU65" s="1" t="str">
        <f t="shared" si="71"/>
        <v/>
      </c>
    </row>
    <row r="66" spans="1:47" ht="19" customHeight="1" x14ac:dyDescent="0.3">
      <c r="A66" s="67" t="s">
        <v>28</v>
      </c>
      <c r="B66" s="67"/>
      <c r="C66" s="67"/>
      <c r="D66" s="89">
        <f>IF(路线!B4="计算",持有情况!BG10,持有情况!BD10)-ROW()*0.00001</f>
        <v>161.99933999999999</v>
      </c>
      <c r="E66" s="90">
        <v>0</v>
      </c>
      <c r="F66" s="90">
        <v>0</v>
      </c>
      <c r="G66" s="89">
        <v>3</v>
      </c>
      <c r="H66" s="90">
        <v>0</v>
      </c>
      <c r="I66" s="1"/>
      <c r="J66" s="89">
        <f>IF(路线!B4="计算",INT(45+8*路线!B33+4*路线!B14+30+持有情况!BG9),INT(45+8*路线!B33+4*路线!B14+30))-ROW()*0.00001</f>
        <v>161.99933999999999</v>
      </c>
      <c r="L66" s="1" t="str">
        <f t="shared" ref="L66:L97" si="72">IF(AND(OR(E66=1,E66=0),G66=1),D66,"")</f>
        <v/>
      </c>
      <c r="M66" s="1" t="str">
        <f t="shared" ref="M66:M97" si="73">IF(AND(OR(E66=2,E66=0),G66=1),D66,"")</f>
        <v/>
      </c>
      <c r="N66" s="1" t="str">
        <f t="shared" ref="N66:N97" si="74">IF(AND(OR(E66=3,E66=0),G66=1),D66,"")</f>
        <v/>
      </c>
      <c r="O66" s="1" t="str">
        <f t="shared" ref="O66:O97" si="75">IF(AND(OR(E66=1,E66=0),G66=2),D66,"")</f>
        <v/>
      </c>
      <c r="P66" s="1" t="str">
        <f t="shared" ref="P66:P97" si="76">IF(AND(OR(E66=2,E66=0),G66=2),D66,"")</f>
        <v/>
      </c>
      <c r="Q66" s="1" t="str">
        <f t="shared" ref="Q66:Q97" si="77">IF(AND(OR(E66=3,E66=0),G66=2),D66,"")</f>
        <v/>
      </c>
      <c r="R66" s="1">
        <f t="shared" ref="R66:R97" si="78">IF(AND(OR(E66=1,E66=0),G66=3),D66,"")</f>
        <v>161.99933999999999</v>
      </c>
      <c r="S66" s="1">
        <f t="shared" ref="S66:S97" si="79">IF(AND(OR(E66=2,E66=0),G66=3),D66,"")</f>
        <v>161.99933999999999</v>
      </c>
      <c r="T66" s="1">
        <f t="shared" ref="T66:T97" si="80">IF(AND(OR(E66=3,E66=0),G66=3),D66,"")</f>
        <v>161.99933999999999</v>
      </c>
      <c r="U66" s="1" t="str">
        <f t="shared" ref="U66:U97" si="81">IF(AND(OR(E66=1,E66=0),G66=1,F66=1),D66,"")</f>
        <v/>
      </c>
      <c r="V66" s="1" t="str">
        <f t="shared" ref="V66:V97" si="82">IF(AND(OR(E66=1,E66=0),G66=2,F66=1),D66,"")</f>
        <v/>
      </c>
      <c r="W66" s="1" t="str">
        <f t="shared" ref="W66:W97" si="83">IF(AND(OR(E66=1,E66=0),G66=3,F66=1),D66,"")</f>
        <v/>
      </c>
      <c r="X66" s="1" t="str">
        <f t="shared" ref="X66:X97" si="84">IF(AND(OR(E66=2,E66=0),G66=1,F66=1),D66,"")</f>
        <v/>
      </c>
      <c r="Y66" s="1" t="str">
        <f t="shared" ref="Y66:Y97" si="85">IF(AND(OR(E66=2,E66=0),G66=2,F66=1),D66,"")</f>
        <v/>
      </c>
      <c r="Z66" s="1" t="str">
        <f t="shared" ref="Z66:Z97" si="86">IF(AND(OR(E66=2,E66=0),G66=3,F66=1),D66,"")</f>
        <v/>
      </c>
      <c r="AA66" s="1" t="str">
        <f t="shared" ref="AA66:AA97" si="87">IF(AND(OR(E66=3,E66=0),G66=1,F66=1),D66,"")</f>
        <v/>
      </c>
      <c r="AB66" s="1" t="str">
        <f t="shared" ref="AB66:AB97" si="88">IF(AND(OR(E66=3,E66=0),G66=2,F66=1),D66,"")</f>
        <v/>
      </c>
      <c r="AC66" s="1" t="str">
        <f t="shared" ref="AC66:AC97" si="89">IF(AND(OR(E66=3,E66=0),G66=3,F66=1),D66,"")</f>
        <v/>
      </c>
      <c r="AD66" s="1" t="str">
        <f t="shared" ref="AD66:AD97" si="90">IF(AND(OR(E66=1,E66=0),G66=1,F66=0),J66,"")</f>
        <v/>
      </c>
      <c r="AE66" s="1" t="str">
        <f t="shared" ref="AE66:AE97" si="91">IF(AND(OR(E66=1,E66=0),G66=2,F66=0),J66,"")</f>
        <v/>
      </c>
      <c r="AF66" s="1">
        <f t="shared" ref="AF66:AF97" si="92">IF(AND(OR(E66=1,E66=0),G66=3,F66=0),J66,"")</f>
        <v>161.99933999999999</v>
      </c>
      <c r="AG66" s="1" t="str">
        <f t="shared" ref="AG66:AG97" si="93">IF(AND(OR(E66=1,E66=0),G66=1,F66=1),J66,"")</f>
        <v/>
      </c>
      <c r="AH66" s="1" t="str">
        <f t="shared" ref="AH66:AH97" si="94">IF(AND(OR(E66=1,E66=0),G66=2,F66=1),J66,"")</f>
        <v/>
      </c>
      <c r="AI66" s="1" t="str">
        <f t="shared" ref="AI66:AI97" si="95">IF(AND(OR(E66=1,E66=0),G66=3,F66=1),J66,"")</f>
        <v/>
      </c>
      <c r="AJ66" s="1" t="str">
        <f t="shared" ref="AJ66:AJ97" si="96">IF(AND(OR(E66=2,E66=0),G66=1,F66=0),J66,"")</f>
        <v/>
      </c>
      <c r="AK66" s="1" t="str">
        <f t="shared" ref="AK66:AK97" si="97">IF(AND(OR(E66=2,E66=0),G66=2,F66=0),J66,"")</f>
        <v/>
      </c>
      <c r="AL66" s="1">
        <f t="shared" ref="AL66:AL97" si="98">IF(AND(OR(E66=2,E66=0),G66=3,F66=0),J66,"")</f>
        <v>161.99933999999999</v>
      </c>
      <c r="AM66" s="1" t="str">
        <f t="shared" ref="AM66:AM97" si="99">IF(AND(OR(E66=2,E66=0),G66=1,F66=1),J66,"")</f>
        <v/>
      </c>
      <c r="AN66" s="1" t="str">
        <f t="shared" ref="AN66:AN97" si="100">IF(AND(OR(E66=2,E66=0),G66=2,F66=1),J66,"")</f>
        <v/>
      </c>
      <c r="AO66" s="1" t="str">
        <f t="shared" ref="AO66:AO97" si="101">IF(AND(OR(E66=2,E66=0),G66=3,F66=1),J66,"")</f>
        <v/>
      </c>
      <c r="AP66" s="1" t="str">
        <f t="shared" ref="AP66:AP97" si="102">IF(AND(OR(E66=3,E66=0),G66=1,F66=0),J66,"")</f>
        <v/>
      </c>
      <c r="AQ66" s="1" t="str">
        <f t="shared" ref="AQ66:AQ97" si="103">IF(AND(OR(E66=3,E66=0),G66=2,F66=0),J66,"")</f>
        <v/>
      </c>
      <c r="AR66" s="1">
        <f t="shared" ref="AR66:AR97" si="104">IF(AND(OR(E66=3,E66=0),G66=3,F66=0),J66,"")</f>
        <v>161.99933999999999</v>
      </c>
      <c r="AS66" s="1" t="str">
        <f t="shared" ref="AS66:AS97" si="105">IF(AND(OR(E66=3,E66=0),G66=1,F66=1),J66,"")</f>
        <v/>
      </c>
      <c r="AT66" s="1" t="str">
        <f t="shared" ref="AT66:AT97" si="106">IF(AND(OR(E66=3,E66=0),G66=2,F66=1),J66,"")</f>
        <v/>
      </c>
      <c r="AU66" s="1" t="str">
        <f t="shared" ref="AU66:AU97" si="107">IF(AND(OR(E66=3,E66=0),G66=3,F66=1),J66,"")</f>
        <v/>
      </c>
    </row>
    <row r="67" spans="1:47" ht="19" customHeight="1" x14ac:dyDescent="0.3">
      <c r="A67" s="75" t="s">
        <v>1</v>
      </c>
      <c r="B67" s="75"/>
      <c r="C67" s="75"/>
      <c r="D67" s="89">
        <f>持有情况!P4-ROW()*0.00001</f>
        <v>169.99932999999999</v>
      </c>
      <c r="E67" s="90">
        <v>0</v>
      </c>
      <c r="F67" s="90">
        <v>0</v>
      </c>
      <c r="G67" s="89">
        <v>2</v>
      </c>
      <c r="H67" s="89">
        <v>1</v>
      </c>
      <c r="I67" s="84" t="s">
        <v>320</v>
      </c>
      <c r="J67" s="89">
        <f>INT((8.5/100)*路线!B11+6*路线!B14+3*路线!B23+40)-ROW()*0.00001</f>
        <v>169.99932999999999</v>
      </c>
      <c r="L67" s="1" t="str">
        <f t="shared" si="72"/>
        <v/>
      </c>
      <c r="M67" s="1" t="str">
        <f t="shared" si="73"/>
        <v/>
      </c>
      <c r="N67" s="1" t="str">
        <f t="shared" si="74"/>
        <v/>
      </c>
      <c r="O67" s="1">
        <f t="shared" si="75"/>
        <v>169.99932999999999</v>
      </c>
      <c r="P67" s="1">
        <f t="shared" si="76"/>
        <v>169.99932999999999</v>
      </c>
      <c r="Q67" s="1">
        <f t="shared" si="77"/>
        <v>169.99932999999999</v>
      </c>
      <c r="R67" s="1" t="str">
        <f t="shared" si="78"/>
        <v/>
      </c>
      <c r="S67" s="1" t="str">
        <f t="shared" si="79"/>
        <v/>
      </c>
      <c r="T67" s="1" t="str">
        <f t="shared" si="80"/>
        <v/>
      </c>
      <c r="U67" s="1" t="str">
        <f t="shared" si="81"/>
        <v/>
      </c>
      <c r="V67" s="1" t="str">
        <f t="shared" si="82"/>
        <v/>
      </c>
      <c r="W67" s="1" t="str">
        <f t="shared" si="83"/>
        <v/>
      </c>
      <c r="X67" s="1" t="str">
        <f t="shared" si="84"/>
        <v/>
      </c>
      <c r="Y67" s="1" t="str">
        <f t="shared" si="85"/>
        <v/>
      </c>
      <c r="Z67" s="1" t="str">
        <f t="shared" si="86"/>
        <v/>
      </c>
      <c r="AA67" s="1" t="str">
        <f t="shared" si="87"/>
        <v/>
      </c>
      <c r="AB67" s="1" t="str">
        <f t="shared" si="88"/>
        <v/>
      </c>
      <c r="AC67" s="1" t="str">
        <f t="shared" si="89"/>
        <v/>
      </c>
      <c r="AD67" s="1" t="str">
        <f t="shared" si="90"/>
        <v/>
      </c>
      <c r="AE67" s="1">
        <f t="shared" si="91"/>
        <v>169.99932999999999</v>
      </c>
      <c r="AF67" s="1" t="str">
        <f t="shared" si="92"/>
        <v/>
      </c>
      <c r="AG67" s="1" t="str">
        <f t="shared" si="93"/>
        <v/>
      </c>
      <c r="AH67" s="1" t="str">
        <f t="shared" si="94"/>
        <v/>
      </c>
      <c r="AI67" s="1" t="str">
        <f t="shared" si="95"/>
        <v/>
      </c>
      <c r="AJ67" s="1" t="str">
        <f t="shared" si="96"/>
        <v/>
      </c>
      <c r="AK67" s="1">
        <f t="shared" si="97"/>
        <v>169.99932999999999</v>
      </c>
      <c r="AL67" s="1" t="str">
        <f t="shared" si="98"/>
        <v/>
      </c>
      <c r="AM67" s="1" t="str">
        <f t="shared" si="99"/>
        <v/>
      </c>
      <c r="AN67" s="1" t="str">
        <f t="shared" si="100"/>
        <v/>
      </c>
      <c r="AO67" s="1" t="str">
        <f t="shared" si="101"/>
        <v/>
      </c>
      <c r="AP67" s="1" t="str">
        <f t="shared" si="102"/>
        <v/>
      </c>
      <c r="AQ67" s="1">
        <f t="shared" si="103"/>
        <v>169.99932999999999</v>
      </c>
      <c r="AR67" s="1" t="str">
        <f t="shared" si="104"/>
        <v/>
      </c>
      <c r="AS67" s="1" t="str">
        <f t="shared" si="105"/>
        <v/>
      </c>
      <c r="AT67" s="1" t="str">
        <f t="shared" si="106"/>
        <v/>
      </c>
      <c r="AU67" s="1" t="str">
        <f t="shared" si="107"/>
        <v/>
      </c>
    </row>
    <row r="68" spans="1:47" ht="19" customHeight="1" x14ac:dyDescent="0.3">
      <c r="A68" s="67" t="s">
        <v>43</v>
      </c>
      <c r="B68" s="67"/>
      <c r="C68" s="67"/>
      <c r="D68" s="89">
        <f>持有情况!Z22-ROW()*0.00001</f>
        <v>189.99932000000001</v>
      </c>
      <c r="E68" s="90">
        <v>0</v>
      </c>
      <c r="F68" s="90">
        <v>0</v>
      </c>
      <c r="G68" s="89">
        <v>3</v>
      </c>
      <c r="H68" s="89">
        <v>1</v>
      </c>
      <c r="I68" s="84" t="s">
        <v>321</v>
      </c>
      <c r="J68" s="89">
        <f>IF(路线!C6="计算",INT((8.5/100)*路线!B11+6*路线!B14+3*路线!B23+40+20)-ROW()*0.00001,INT((8.5/100)*路线!B11+6*路线!B14+3*路线!B23+40)-ROW()*0.00001)</f>
        <v>189.99932000000001</v>
      </c>
      <c r="L68" s="1" t="str">
        <f t="shared" si="72"/>
        <v/>
      </c>
      <c r="M68" s="1" t="str">
        <f t="shared" si="73"/>
        <v/>
      </c>
      <c r="N68" s="1" t="str">
        <f t="shared" si="74"/>
        <v/>
      </c>
      <c r="O68" s="1" t="str">
        <f t="shared" si="75"/>
        <v/>
      </c>
      <c r="P68" s="1" t="str">
        <f t="shared" si="76"/>
        <v/>
      </c>
      <c r="Q68" s="1" t="str">
        <f t="shared" si="77"/>
        <v/>
      </c>
      <c r="R68" s="1">
        <f t="shared" si="78"/>
        <v>189.99932000000001</v>
      </c>
      <c r="S68" s="1">
        <f t="shared" si="79"/>
        <v>189.99932000000001</v>
      </c>
      <c r="T68" s="1">
        <f t="shared" si="80"/>
        <v>189.99932000000001</v>
      </c>
      <c r="U68" s="1" t="str">
        <f t="shared" si="81"/>
        <v/>
      </c>
      <c r="V68" s="1" t="str">
        <f t="shared" si="82"/>
        <v/>
      </c>
      <c r="W68" s="1" t="str">
        <f t="shared" si="83"/>
        <v/>
      </c>
      <c r="X68" s="1" t="str">
        <f t="shared" si="84"/>
        <v/>
      </c>
      <c r="Y68" s="1" t="str">
        <f t="shared" si="85"/>
        <v/>
      </c>
      <c r="Z68" s="1" t="str">
        <f t="shared" si="86"/>
        <v/>
      </c>
      <c r="AA68" s="1" t="str">
        <f t="shared" si="87"/>
        <v/>
      </c>
      <c r="AB68" s="1" t="str">
        <f t="shared" si="88"/>
        <v/>
      </c>
      <c r="AC68" s="1" t="str">
        <f t="shared" si="89"/>
        <v/>
      </c>
      <c r="AD68" s="1" t="str">
        <f t="shared" si="90"/>
        <v/>
      </c>
      <c r="AE68" s="1" t="str">
        <f t="shared" si="91"/>
        <v/>
      </c>
      <c r="AF68" s="1">
        <f t="shared" si="92"/>
        <v>189.99932000000001</v>
      </c>
      <c r="AG68" s="1" t="str">
        <f t="shared" si="93"/>
        <v/>
      </c>
      <c r="AH68" s="1" t="str">
        <f t="shared" si="94"/>
        <v/>
      </c>
      <c r="AI68" s="1" t="str">
        <f t="shared" si="95"/>
        <v/>
      </c>
      <c r="AJ68" s="1" t="str">
        <f t="shared" si="96"/>
        <v/>
      </c>
      <c r="AK68" s="1" t="str">
        <f t="shared" si="97"/>
        <v/>
      </c>
      <c r="AL68" s="1">
        <f t="shared" si="98"/>
        <v>189.99932000000001</v>
      </c>
      <c r="AM68" s="1" t="str">
        <f t="shared" si="99"/>
        <v/>
      </c>
      <c r="AN68" s="1" t="str">
        <f t="shared" si="100"/>
        <v/>
      </c>
      <c r="AO68" s="1" t="str">
        <f t="shared" si="101"/>
        <v/>
      </c>
      <c r="AP68" s="1" t="str">
        <f t="shared" si="102"/>
        <v/>
      </c>
      <c r="AQ68" s="1" t="str">
        <f t="shared" si="103"/>
        <v/>
      </c>
      <c r="AR68" s="1">
        <f t="shared" si="104"/>
        <v>189.99932000000001</v>
      </c>
      <c r="AS68" s="1" t="str">
        <f t="shared" si="105"/>
        <v/>
      </c>
      <c r="AT68" s="1" t="str">
        <f t="shared" si="106"/>
        <v/>
      </c>
      <c r="AU68" s="1" t="str">
        <f t="shared" si="107"/>
        <v/>
      </c>
    </row>
    <row r="69" spans="1:47" ht="19" customHeight="1" x14ac:dyDescent="0.3">
      <c r="A69" s="67" t="s">
        <v>72</v>
      </c>
      <c r="B69" s="67"/>
      <c r="C69" s="67"/>
      <c r="D69" s="89">
        <f>持有情况!Z46-ROW()*0.00001</f>
        <v>179.99931000000001</v>
      </c>
      <c r="E69" s="89">
        <v>2</v>
      </c>
      <c r="F69" s="89">
        <v>1</v>
      </c>
      <c r="G69" s="89">
        <v>3</v>
      </c>
      <c r="H69" s="89">
        <v>1</v>
      </c>
      <c r="I69" s="84" t="s">
        <v>322</v>
      </c>
      <c r="J69" s="89">
        <f>IF(路线!C6="计算",INT(60+6*路线!B14+3*路线!B24+40+20)-ROW()*0.00001,INT(60+6*路线!B14+3*路线!B24+40)-ROW()*0.00001)</f>
        <v>179.99931000000001</v>
      </c>
      <c r="L69" s="1" t="str">
        <f t="shared" si="72"/>
        <v/>
      </c>
      <c r="M69" s="1" t="str">
        <f t="shared" si="73"/>
        <v/>
      </c>
      <c r="N69" s="1" t="str">
        <f t="shared" si="74"/>
        <v/>
      </c>
      <c r="O69" s="1" t="str">
        <f t="shared" si="75"/>
        <v/>
      </c>
      <c r="P69" s="1" t="str">
        <f t="shared" si="76"/>
        <v/>
      </c>
      <c r="Q69" s="1" t="str">
        <f t="shared" si="77"/>
        <v/>
      </c>
      <c r="R69" s="1" t="str">
        <f t="shared" si="78"/>
        <v/>
      </c>
      <c r="S69" s="1">
        <f t="shared" si="79"/>
        <v>179.99931000000001</v>
      </c>
      <c r="T69" s="1" t="str">
        <f t="shared" si="80"/>
        <v/>
      </c>
      <c r="U69" s="1" t="str">
        <f t="shared" si="81"/>
        <v/>
      </c>
      <c r="V69" s="1" t="str">
        <f t="shared" si="82"/>
        <v/>
      </c>
      <c r="W69" s="1" t="str">
        <f t="shared" si="83"/>
        <v/>
      </c>
      <c r="X69" s="1" t="str">
        <f t="shared" si="84"/>
        <v/>
      </c>
      <c r="Y69" s="1" t="str">
        <f t="shared" si="85"/>
        <v/>
      </c>
      <c r="Z69" s="1">
        <f t="shared" si="86"/>
        <v>179.99931000000001</v>
      </c>
      <c r="AA69" s="1" t="str">
        <f t="shared" si="87"/>
        <v/>
      </c>
      <c r="AB69" s="1" t="str">
        <f t="shared" si="88"/>
        <v/>
      </c>
      <c r="AC69" s="1" t="str">
        <f t="shared" si="89"/>
        <v/>
      </c>
      <c r="AD69" s="1" t="str">
        <f t="shared" si="90"/>
        <v/>
      </c>
      <c r="AE69" s="1" t="str">
        <f t="shared" si="91"/>
        <v/>
      </c>
      <c r="AF69" s="1" t="str">
        <f t="shared" si="92"/>
        <v/>
      </c>
      <c r="AG69" s="1" t="str">
        <f t="shared" si="93"/>
        <v/>
      </c>
      <c r="AH69" s="1" t="str">
        <f t="shared" si="94"/>
        <v/>
      </c>
      <c r="AI69" s="1" t="str">
        <f t="shared" si="95"/>
        <v/>
      </c>
      <c r="AJ69" s="1" t="str">
        <f t="shared" si="96"/>
        <v/>
      </c>
      <c r="AK69" s="1" t="str">
        <f t="shared" si="97"/>
        <v/>
      </c>
      <c r="AL69" s="1" t="str">
        <f t="shared" si="98"/>
        <v/>
      </c>
      <c r="AM69" s="1" t="str">
        <f t="shared" si="99"/>
        <v/>
      </c>
      <c r="AN69" s="1" t="str">
        <f t="shared" si="100"/>
        <v/>
      </c>
      <c r="AO69" s="1">
        <f t="shared" si="101"/>
        <v>179.99931000000001</v>
      </c>
      <c r="AP69" s="1" t="str">
        <f t="shared" si="102"/>
        <v/>
      </c>
      <c r="AQ69" s="1" t="str">
        <f t="shared" si="103"/>
        <v/>
      </c>
      <c r="AR69" s="1" t="str">
        <f t="shared" si="104"/>
        <v/>
      </c>
      <c r="AS69" s="1" t="str">
        <f t="shared" si="105"/>
        <v/>
      </c>
      <c r="AT69" s="1" t="str">
        <f t="shared" si="106"/>
        <v/>
      </c>
      <c r="AU69" s="1" t="str">
        <f t="shared" si="107"/>
        <v/>
      </c>
    </row>
    <row r="70" spans="1:47" ht="19" customHeight="1" x14ac:dyDescent="0.3">
      <c r="A70" s="57" t="s">
        <v>55</v>
      </c>
      <c r="B70" s="57"/>
      <c r="C70" s="57"/>
      <c r="D70" s="89">
        <f>持有情况!F34-ROW()*0.00001</f>
        <v>139.99930000000001</v>
      </c>
      <c r="E70" s="90">
        <v>0</v>
      </c>
      <c r="F70" s="89">
        <v>1</v>
      </c>
      <c r="G70" s="89">
        <v>1</v>
      </c>
      <c r="H70" s="89">
        <v>1</v>
      </c>
      <c r="I70" s="84" t="s">
        <v>323</v>
      </c>
      <c r="J70" s="89">
        <f>INT(60+6*路线!B14+4*(路线!B28+路线!B29)+40)-ROW()*0.00001</f>
        <v>139.99930000000001</v>
      </c>
      <c r="L70" s="1">
        <f t="shared" si="72"/>
        <v>139.99930000000001</v>
      </c>
      <c r="M70" s="1">
        <f t="shared" si="73"/>
        <v>139.99930000000001</v>
      </c>
      <c r="N70" s="1">
        <f t="shared" si="74"/>
        <v>139.99930000000001</v>
      </c>
      <c r="O70" s="1" t="str">
        <f t="shared" si="75"/>
        <v/>
      </c>
      <c r="P70" s="1" t="str">
        <f t="shared" si="76"/>
        <v/>
      </c>
      <c r="Q70" s="1" t="str">
        <f t="shared" si="77"/>
        <v/>
      </c>
      <c r="R70" s="1" t="str">
        <f t="shared" si="78"/>
        <v/>
      </c>
      <c r="S70" s="1" t="str">
        <f t="shared" si="79"/>
        <v/>
      </c>
      <c r="T70" s="1" t="str">
        <f t="shared" si="80"/>
        <v/>
      </c>
      <c r="U70" s="1">
        <f t="shared" si="81"/>
        <v>139.99930000000001</v>
      </c>
      <c r="V70" s="1" t="str">
        <f t="shared" si="82"/>
        <v/>
      </c>
      <c r="W70" s="1" t="str">
        <f t="shared" si="83"/>
        <v/>
      </c>
      <c r="X70" s="1">
        <f t="shared" si="84"/>
        <v>139.99930000000001</v>
      </c>
      <c r="Y70" s="1" t="str">
        <f t="shared" si="85"/>
        <v/>
      </c>
      <c r="Z70" s="1" t="str">
        <f t="shared" si="86"/>
        <v/>
      </c>
      <c r="AA70" s="1">
        <f t="shared" si="87"/>
        <v>139.99930000000001</v>
      </c>
      <c r="AB70" s="1" t="str">
        <f t="shared" si="88"/>
        <v/>
      </c>
      <c r="AC70" s="1" t="str">
        <f t="shared" si="89"/>
        <v/>
      </c>
      <c r="AD70" s="1" t="str">
        <f t="shared" si="90"/>
        <v/>
      </c>
      <c r="AE70" s="1" t="str">
        <f t="shared" si="91"/>
        <v/>
      </c>
      <c r="AF70" s="1" t="str">
        <f t="shared" si="92"/>
        <v/>
      </c>
      <c r="AG70" s="1">
        <f t="shared" si="93"/>
        <v>139.99930000000001</v>
      </c>
      <c r="AH70" s="1" t="str">
        <f t="shared" si="94"/>
        <v/>
      </c>
      <c r="AI70" s="1" t="str">
        <f t="shared" si="95"/>
        <v/>
      </c>
      <c r="AJ70" s="1" t="str">
        <f t="shared" si="96"/>
        <v/>
      </c>
      <c r="AK70" s="1" t="str">
        <f t="shared" si="97"/>
        <v/>
      </c>
      <c r="AL70" s="1" t="str">
        <f t="shared" si="98"/>
        <v/>
      </c>
      <c r="AM70" s="1">
        <f t="shared" si="99"/>
        <v>139.99930000000001</v>
      </c>
      <c r="AN70" s="1" t="str">
        <f t="shared" si="100"/>
        <v/>
      </c>
      <c r="AO70" s="1" t="str">
        <f t="shared" si="101"/>
        <v/>
      </c>
      <c r="AP70" s="1" t="str">
        <f t="shared" si="102"/>
        <v/>
      </c>
      <c r="AQ70" s="1" t="str">
        <f t="shared" si="103"/>
        <v/>
      </c>
      <c r="AR70" s="1" t="str">
        <f t="shared" si="104"/>
        <v/>
      </c>
      <c r="AS70" s="1">
        <f t="shared" si="105"/>
        <v>139.99930000000001</v>
      </c>
      <c r="AT70" s="1" t="str">
        <f t="shared" si="106"/>
        <v/>
      </c>
      <c r="AU70" s="1" t="str">
        <f t="shared" si="107"/>
        <v/>
      </c>
    </row>
    <row r="71" spans="1:47" ht="19" customHeight="1" x14ac:dyDescent="0.3">
      <c r="A71" s="75" t="s">
        <v>102</v>
      </c>
      <c r="B71" s="75"/>
      <c r="C71" s="75"/>
      <c r="D71" s="89">
        <f>持有情况!AT70-ROW()*0.00001</f>
        <v>170.99929</v>
      </c>
      <c r="E71" s="89">
        <v>1</v>
      </c>
      <c r="F71" s="90">
        <v>0</v>
      </c>
      <c r="G71" s="89">
        <v>2</v>
      </c>
      <c r="H71" s="89">
        <v>1</v>
      </c>
      <c r="I71" s="84" t="s">
        <v>324</v>
      </c>
      <c r="J71" s="89">
        <f>INT((6.4/100)*路线!B11+8*路线!B33+13*路线!B15+30)-ROW()*0.00001</f>
        <v>170.99929</v>
      </c>
      <c r="L71" s="1" t="str">
        <f t="shared" si="72"/>
        <v/>
      </c>
      <c r="M71" s="1" t="str">
        <f t="shared" si="73"/>
        <v/>
      </c>
      <c r="N71" s="1" t="str">
        <f t="shared" si="74"/>
        <v/>
      </c>
      <c r="O71" s="1">
        <f t="shared" si="75"/>
        <v>170.99929</v>
      </c>
      <c r="P71" s="1" t="str">
        <f t="shared" si="76"/>
        <v/>
      </c>
      <c r="Q71" s="1" t="str">
        <f t="shared" si="77"/>
        <v/>
      </c>
      <c r="R71" s="1" t="str">
        <f t="shared" si="78"/>
        <v/>
      </c>
      <c r="S71" s="1" t="str">
        <f t="shared" si="79"/>
        <v/>
      </c>
      <c r="T71" s="1" t="str">
        <f t="shared" si="80"/>
        <v/>
      </c>
      <c r="U71" s="1" t="str">
        <f t="shared" si="81"/>
        <v/>
      </c>
      <c r="V71" s="1" t="str">
        <f t="shared" si="82"/>
        <v/>
      </c>
      <c r="W71" s="1" t="str">
        <f t="shared" si="83"/>
        <v/>
      </c>
      <c r="X71" s="1" t="str">
        <f t="shared" si="84"/>
        <v/>
      </c>
      <c r="Y71" s="1" t="str">
        <f t="shared" si="85"/>
        <v/>
      </c>
      <c r="Z71" s="1" t="str">
        <f t="shared" si="86"/>
        <v/>
      </c>
      <c r="AA71" s="1" t="str">
        <f t="shared" si="87"/>
        <v/>
      </c>
      <c r="AB71" s="1" t="str">
        <f t="shared" si="88"/>
        <v/>
      </c>
      <c r="AC71" s="1" t="str">
        <f t="shared" si="89"/>
        <v/>
      </c>
      <c r="AD71" s="1" t="str">
        <f t="shared" si="90"/>
        <v/>
      </c>
      <c r="AE71" s="1">
        <f t="shared" si="91"/>
        <v>170.99929</v>
      </c>
      <c r="AF71" s="1" t="str">
        <f t="shared" si="92"/>
        <v/>
      </c>
      <c r="AG71" s="1" t="str">
        <f t="shared" si="93"/>
        <v/>
      </c>
      <c r="AH71" s="1" t="str">
        <f t="shared" si="94"/>
        <v/>
      </c>
      <c r="AI71" s="1" t="str">
        <f t="shared" si="95"/>
        <v/>
      </c>
      <c r="AJ71" s="1" t="str">
        <f t="shared" si="96"/>
        <v/>
      </c>
      <c r="AK71" s="1" t="str">
        <f t="shared" si="97"/>
        <v/>
      </c>
      <c r="AL71" s="1" t="str">
        <f t="shared" si="98"/>
        <v/>
      </c>
      <c r="AM71" s="1" t="str">
        <f t="shared" si="99"/>
        <v/>
      </c>
      <c r="AN71" s="1" t="str">
        <f t="shared" si="100"/>
        <v/>
      </c>
      <c r="AO71" s="1" t="str">
        <f t="shared" si="101"/>
        <v/>
      </c>
      <c r="AP71" s="1" t="str">
        <f t="shared" si="102"/>
        <v/>
      </c>
      <c r="AQ71" s="1" t="str">
        <f t="shared" si="103"/>
        <v/>
      </c>
      <c r="AR71" s="1" t="str">
        <f t="shared" si="104"/>
        <v/>
      </c>
      <c r="AS71" s="1" t="str">
        <f t="shared" si="105"/>
        <v/>
      </c>
      <c r="AT71" s="1" t="str">
        <f t="shared" si="106"/>
        <v/>
      </c>
      <c r="AU71" s="1" t="str">
        <f t="shared" si="107"/>
        <v/>
      </c>
    </row>
    <row r="72" spans="1:47" ht="19" customHeight="1" x14ac:dyDescent="0.3">
      <c r="A72" s="75" t="s">
        <v>117</v>
      </c>
      <c r="B72" s="75"/>
      <c r="C72" s="75"/>
      <c r="D72" s="89">
        <f>持有情况!AT82-ROW()*0.00001</f>
        <v>171.99928</v>
      </c>
      <c r="E72" s="90">
        <v>0</v>
      </c>
      <c r="F72" s="90">
        <v>0</v>
      </c>
      <c r="G72" s="89">
        <v>2</v>
      </c>
      <c r="H72" s="90">
        <v>0</v>
      </c>
      <c r="I72" s="1"/>
      <c r="J72" s="89">
        <f>INT(45+3*(路线!B28+路线!B29)+11*路线!B34+13*路线!B15+30)-ROW()*0.00001</f>
        <v>171.99928</v>
      </c>
      <c r="L72" s="1" t="str">
        <f t="shared" si="72"/>
        <v/>
      </c>
      <c r="M72" s="1" t="str">
        <f t="shared" si="73"/>
        <v/>
      </c>
      <c r="N72" s="1" t="str">
        <f t="shared" si="74"/>
        <v/>
      </c>
      <c r="O72" s="1">
        <f t="shared" si="75"/>
        <v>171.99928</v>
      </c>
      <c r="P72" s="1">
        <f t="shared" si="76"/>
        <v>171.99928</v>
      </c>
      <c r="Q72" s="1">
        <f t="shared" si="77"/>
        <v>171.99928</v>
      </c>
      <c r="R72" s="1" t="str">
        <f t="shared" si="78"/>
        <v/>
      </c>
      <c r="S72" s="1" t="str">
        <f t="shared" si="79"/>
        <v/>
      </c>
      <c r="T72" s="1" t="str">
        <f t="shared" si="80"/>
        <v/>
      </c>
      <c r="U72" s="1" t="str">
        <f t="shared" si="81"/>
        <v/>
      </c>
      <c r="V72" s="1" t="str">
        <f t="shared" si="82"/>
        <v/>
      </c>
      <c r="W72" s="1" t="str">
        <f t="shared" si="83"/>
        <v/>
      </c>
      <c r="X72" s="1" t="str">
        <f t="shared" si="84"/>
        <v/>
      </c>
      <c r="Y72" s="1" t="str">
        <f t="shared" si="85"/>
        <v/>
      </c>
      <c r="Z72" s="1" t="str">
        <f t="shared" si="86"/>
        <v/>
      </c>
      <c r="AA72" s="1" t="str">
        <f t="shared" si="87"/>
        <v/>
      </c>
      <c r="AB72" s="1" t="str">
        <f t="shared" si="88"/>
        <v/>
      </c>
      <c r="AC72" s="1" t="str">
        <f t="shared" si="89"/>
        <v/>
      </c>
      <c r="AD72" s="1" t="str">
        <f t="shared" si="90"/>
        <v/>
      </c>
      <c r="AE72" s="1">
        <f t="shared" si="91"/>
        <v>171.99928</v>
      </c>
      <c r="AF72" s="1" t="str">
        <f t="shared" si="92"/>
        <v/>
      </c>
      <c r="AG72" s="1" t="str">
        <f t="shared" si="93"/>
        <v/>
      </c>
      <c r="AH72" s="1" t="str">
        <f t="shared" si="94"/>
        <v/>
      </c>
      <c r="AI72" s="1" t="str">
        <f t="shared" si="95"/>
        <v/>
      </c>
      <c r="AJ72" s="1" t="str">
        <f t="shared" si="96"/>
        <v/>
      </c>
      <c r="AK72" s="1">
        <f t="shared" si="97"/>
        <v>171.99928</v>
      </c>
      <c r="AL72" s="1" t="str">
        <f t="shared" si="98"/>
        <v/>
      </c>
      <c r="AM72" s="1" t="str">
        <f t="shared" si="99"/>
        <v/>
      </c>
      <c r="AN72" s="1" t="str">
        <f t="shared" si="100"/>
        <v/>
      </c>
      <c r="AO72" s="1" t="str">
        <f t="shared" si="101"/>
        <v/>
      </c>
      <c r="AP72" s="1" t="str">
        <f t="shared" si="102"/>
        <v/>
      </c>
      <c r="AQ72" s="1">
        <f t="shared" si="103"/>
        <v>171.99928</v>
      </c>
      <c r="AR72" s="1" t="str">
        <f t="shared" si="104"/>
        <v/>
      </c>
      <c r="AS72" s="1" t="str">
        <f t="shared" si="105"/>
        <v/>
      </c>
      <c r="AT72" s="1" t="str">
        <f t="shared" si="106"/>
        <v/>
      </c>
      <c r="AU72" s="1" t="str">
        <f t="shared" si="107"/>
        <v/>
      </c>
    </row>
    <row r="73" spans="1:47" ht="19" customHeight="1" x14ac:dyDescent="0.3">
      <c r="A73" s="67" t="s">
        <v>90</v>
      </c>
      <c r="B73" s="67"/>
      <c r="C73" s="67"/>
      <c r="D73" s="89">
        <f>持有情况!BD58-ROW()*0.00001</f>
        <v>158.99927</v>
      </c>
      <c r="E73" s="90">
        <v>0</v>
      </c>
      <c r="F73" s="90">
        <v>0</v>
      </c>
      <c r="G73" s="89">
        <v>3</v>
      </c>
      <c r="H73" s="89">
        <v>1</v>
      </c>
      <c r="I73" s="84" t="s">
        <v>325</v>
      </c>
      <c r="J73" s="89">
        <f>IF(路线!C6="计算",INT(45+3*(路线!B28+路线!B29)+13*路线!B15+30+20)-ROW()*0.00001,INT(45+3*(路线!B28+路线!B29)+13*路线!B15+30)-ROW()*0.00001)</f>
        <v>158.99927</v>
      </c>
      <c r="L73" s="1" t="str">
        <f t="shared" si="72"/>
        <v/>
      </c>
      <c r="M73" s="1" t="str">
        <f t="shared" si="73"/>
        <v/>
      </c>
      <c r="N73" s="1" t="str">
        <f t="shared" si="74"/>
        <v/>
      </c>
      <c r="O73" s="1" t="str">
        <f t="shared" si="75"/>
        <v/>
      </c>
      <c r="P73" s="1" t="str">
        <f t="shared" si="76"/>
        <v/>
      </c>
      <c r="Q73" s="1" t="str">
        <f t="shared" si="77"/>
        <v/>
      </c>
      <c r="R73" s="1">
        <f t="shared" si="78"/>
        <v>158.99927</v>
      </c>
      <c r="S73" s="1">
        <f t="shared" si="79"/>
        <v>158.99927</v>
      </c>
      <c r="T73" s="1">
        <f t="shared" si="80"/>
        <v>158.99927</v>
      </c>
      <c r="U73" s="1" t="str">
        <f t="shared" si="81"/>
        <v/>
      </c>
      <c r="V73" s="1" t="str">
        <f t="shared" si="82"/>
        <v/>
      </c>
      <c r="W73" s="1" t="str">
        <f t="shared" si="83"/>
        <v/>
      </c>
      <c r="X73" s="1" t="str">
        <f t="shared" si="84"/>
        <v/>
      </c>
      <c r="Y73" s="1" t="str">
        <f t="shared" si="85"/>
        <v/>
      </c>
      <c r="Z73" s="1" t="str">
        <f t="shared" si="86"/>
        <v/>
      </c>
      <c r="AA73" s="1" t="str">
        <f t="shared" si="87"/>
        <v/>
      </c>
      <c r="AB73" s="1" t="str">
        <f t="shared" si="88"/>
        <v/>
      </c>
      <c r="AC73" s="1" t="str">
        <f t="shared" si="89"/>
        <v/>
      </c>
      <c r="AD73" s="1" t="str">
        <f t="shared" si="90"/>
        <v/>
      </c>
      <c r="AE73" s="1" t="str">
        <f t="shared" si="91"/>
        <v/>
      </c>
      <c r="AF73" s="1">
        <f t="shared" si="92"/>
        <v>158.99927</v>
      </c>
      <c r="AG73" s="1" t="str">
        <f t="shared" si="93"/>
        <v/>
      </c>
      <c r="AH73" s="1" t="str">
        <f t="shared" si="94"/>
        <v/>
      </c>
      <c r="AI73" s="1" t="str">
        <f t="shared" si="95"/>
        <v/>
      </c>
      <c r="AJ73" s="1" t="str">
        <f t="shared" si="96"/>
        <v/>
      </c>
      <c r="AK73" s="1" t="str">
        <f t="shared" si="97"/>
        <v/>
      </c>
      <c r="AL73" s="1">
        <f t="shared" si="98"/>
        <v>158.99927</v>
      </c>
      <c r="AM73" s="1" t="str">
        <f t="shared" si="99"/>
        <v/>
      </c>
      <c r="AN73" s="1" t="str">
        <f t="shared" si="100"/>
        <v/>
      </c>
      <c r="AO73" s="1" t="str">
        <f t="shared" si="101"/>
        <v/>
      </c>
      <c r="AP73" s="1" t="str">
        <f t="shared" si="102"/>
        <v/>
      </c>
      <c r="AQ73" s="1" t="str">
        <f t="shared" si="103"/>
        <v/>
      </c>
      <c r="AR73" s="1">
        <f t="shared" si="104"/>
        <v>158.99927</v>
      </c>
      <c r="AS73" s="1" t="str">
        <f t="shared" si="105"/>
        <v/>
      </c>
      <c r="AT73" s="1" t="str">
        <f t="shared" si="106"/>
        <v/>
      </c>
      <c r="AU73" s="1" t="str">
        <f t="shared" si="107"/>
        <v/>
      </c>
    </row>
    <row r="74" spans="1:47" ht="19" customHeight="1" x14ac:dyDescent="0.3">
      <c r="A74" s="67" t="s">
        <v>69</v>
      </c>
      <c r="B74" s="67"/>
      <c r="C74" s="67"/>
      <c r="D74" s="89">
        <f>持有情况!BD40-ROW()*0.00001</f>
        <v>110.99926000000001</v>
      </c>
      <c r="E74" s="89">
        <v>1</v>
      </c>
      <c r="F74" s="90">
        <v>0</v>
      </c>
      <c r="G74" s="89">
        <v>3</v>
      </c>
      <c r="H74" s="89">
        <v>1</v>
      </c>
      <c r="I74" s="84" t="s">
        <v>326</v>
      </c>
      <c r="J74" s="89">
        <f>IF(路线!C6="计算",INT(45+10*路线!B31+4*路线!B14+30+20)-ROW()*0.00001,INT(45+10*路线!B31+4*路线!B14+30)-ROW()*0.00001)</f>
        <v>110.99926000000001</v>
      </c>
      <c r="L74" s="1" t="str">
        <f t="shared" si="72"/>
        <v/>
      </c>
      <c r="M74" s="1" t="str">
        <f t="shared" si="73"/>
        <v/>
      </c>
      <c r="N74" s="1" t="str">
        <f t="shared" si="74"/>
        <v/>
      </c>
      <c r="O74" s="1" t="str">
        <f t="shared" si="75"/>
        <v/>
      </c>
      <c r="P74" s="1" t="str">
        <f t="shared" si="76"/>
        <v/>
      </c>
      <c r="Q74" s="1" t="str">
        <f t="shared" si="77"/>
        <v/>
      </c>
      <c r="R74" s="1">
        <f t="shared" si="78"/>
        <v>110.99926000000001</v>
      </c>
      <c r="S74" s="1" t="str">
        <f t="shared" si="79"/>
        <v/>
      </c>
      <c r="T74" s="1" t="str">
        <f t="shared" si="80"/>
        <v/>
      </c>
      <c r="U74" s="1" t="str">
        <f t="shared" si="81"/>
        <v/>
      </c>
      <c r="V74" s="1" t="str">
        <f t="shared" si="82"/>
        <v/>
      </c>
      <c r="W74" s="1" t="str">
        <f t="shared" si="83"/>
        <v/>
      </c>
      <c r="X74" s="1" t="str">
        <f t="shared" si="84"/>
        <v/>
      </c>
      <c r="Y74" s="1" t="str">
        <f t="shared" si="85"/>
        <v/>
      </c>
      <c r="Z74" s="1" t="str">
        <f t="shared" si="86"/>
        <v/>
      </c>
      <c r="AA74" s="1" t="str">
        <f t="shared" si="87"/>
        <v/>
      </c>
      <c r="AB74" s="1" t="str">
        <f t="shared" si="88"/>
        <v/>
      </c>
      <c r="AC74" s="1" t="str">
        <f t="shared" si="89"/>
        <v/>
      </c>
      <c r="AD74" s="1" t="str">
        <f t="shared" si="90"/>
        <v/>
      </c>
      <c r="AE74" s="1" t="str">
        <f t="shared" si="91"/>
        <v/>
      </c>
      <c r="AF74" s="1">
        <f t="shared" si="92"/>
        <v>110.99926000000001</v>
      </c>
      <c r="AG74" s="1" t="str">
        <f t="shared" si="93"/>
        <v/>
      </c>
      <c r="AH74" s="1" t="str">
        <f t="shared" si="94"/>
        <v/>
      </c>
      <c r="AI74" s="1" t="str">
        <f t="shared" si="95"/>
        <v/>
      </c>
      <c r="AJ74" s="1" t="str">
        <f t="shared" si="96"/>
        <v/>
      </c>
      <c r="AK74" s="1" t="str">
        <f t="shared" si="97"/>
        <v/>
      </c>
      <c r="AL74" s="1" t="str">
        <f t="shared" si="98"/>
        <v/>
      </c>
      <c r="AM74" s="1" t="str">
        <f t="shared" si="99"/>
        <v/>
      </c>
      <c r="AN74" s="1" t="str">
        <f t="shared" si="100"/>
        <v/>
      </c>
      <c r="AO74" s="1" t="str">
        <f t="shared" si="101"/>
        <v/>
      </c>
      <c r="AP74" s="1" t="str">
        <f t="shared" si="102"/>
        <v/>
      </c>
      <c r="AQ74" s="1" t="str">
        <f t="shared" si="103"/>
        <v/>
      </c>
      <c r="AR74" s="1" t="str">
        <f t="shared" si="104"/>
        <v/>
      </c>
      <c r="AS74" s="1" t="str">
        <f t="shared" si="105"/>
        <v/>
      </c>
      <c r="AT74" s="1" t="str">
        <f t="shared" si="106"/>
        <v/>
      </c>
      <c r="AU74" s="1" t="str">
        <f t="shared" si="107"/>
        <v/>
      </c>
    </row>
    <row r="75" spans="1:47" ht="19" customHeight="1" x14ac:dyDescent="0.3">
      <c r="A75" s="57" t="s">
        <v>3</v>
      </c>
      <c r="B75" s="57"/>
      <c r="C75" s="57"/>
      <c r="D75" s="89">
        <f>持有情况!AJ4-ROW()*0.00001</f>
        <v>86.999250000000004</v>
      </c>
      <c r="E75" s="90">
        <v>0</v>
      </c>
      <c r="F75" s="90">
        <v>0</v>
      </c>
      <c r="G75" s="89">
        <v>1</v>
      </c>
      <c r="H75" s="90">
        <v>0</v>
      </c>
      <c r="I75" s="1"/>
      <c r="J75" s="89">
        <f>INT(45+10*路线!B31+3*(路线!B28+路线!B29)+30)-ROW()*0.00001</f>
        <v>86.999250000000004</v>
      </c>
      <c r="L75" s="1">
        <f t="shared" si="72"/>
        <v>86.999250000000004</v>
      </c>
      <c r="M75" s="1">
        <f t="shared" si="73"/>
        <v>86.999250000000004</v>
      </c>
      <c r="N75" s="1">
        <f t="shared" si="74"/>
        <v>86.999250000000004</v>
      </c>
      <c r="O75" s="1" t="str">
        <f t="shared" si="75"/>
        <v/>
      </c>
      <c r="P75" s="1" t="str">
        <f t="shared" si="76"/>
        <v/>
      </c>
      <c r="Q75" s="1" t="str">
        <f t="shared" si="77"/>
        <v/>
      </c>
      <c r="R75" s="1" t="str">
        <f t="shared" si="78"/>
        <v/>
      </c>
      <c r="S75" s="1" t="str">
        <f t="shared" si="79"/>
        <v/>
      </c>
      <c r="T75" s="1" t="str">
        <f t="shared" si="80"/>
        <v/>
      </c>
      <c r="U75" s="1" t="str">
        <f t="shared" si="81"/>
        <v/>
      </c>
      <c r="V75" s="1" t="str">
        <f t="shared" si="82"/>
        <v/>
      </c>
      <c r="W75" s="1" t="str">
        <f t="shared" si="83"/>
        <v/>
      </c>
      <c r="X75" s="1" t="str">
        <f t="shared" si="84"/>
        <v/>
      </c>
      <c r="Y75" s="1" t="str">
        <f t="shared" si="85"/>
        <v/>
      </c>
      <c r="Z75" s="1" t="str">
        <f t="shared" si="86"/>
        <v/>
      </c>
      <c r="AA75" s="1" t="str">
        <f t="shared" si="87"/>
        <v/>
      </c>
      <c r="AB75" s="1" t="str">
        <f t="shared" si="88"/>
        <v/>
      </c>
      <c r="AC75" s="1" t="str">
        <f t="shared" si="89"/>
        <v/>
      </c>
      <c r="AD75" s="1">
        <f t="shared" si="90"/>
        <v>86.999250000000004</v>
      </c>
      <c r="AE75" s="1" t="str">
        <f t="shared" si="91"/>
        <v/>
      </c>
      <c r="AF75" s="1" t="str">
        <f t="shared" si="92"/>
        <v/>
      </c>
      <c r="AG75" s="1" t="str">
        <f t="shared" si="93"/>
        <v/>
      </c>
      <c r="AH75" s="1" t="str">
        <f t="shared" si="94"/>
        <v/>
      </c>
      <c r="AI75" s="1" t="str">
        <f t="shared" si="95"/>
        <v/>
      </c>
      <c r="AJ75" s="1">
        <f t="shared" si="96"/>
        <v>86.999250000000004</v>
      </c>
      <c r="AK75" s="1" t="str">
        <f t="shared" si="97"/>
        <v/>
      </c>
      <c r="AL75" s="1" t="str">
        <f t="shared" si="98"/>
        <v/>
      </c>
      <c r="AM75" s="1" t="str">
        <f t="shared" si="99"/>
        <v/>
      </c>
      <c r="AN75" s="1" t="str">
        <f t="shared" si="100"/>
        <v/>
      </c>
      <c r="AO75" s="1" t="str">
        <f t="shared" si="101"/>
        <v/>
      </c>
      <c r="AP75" s="1">
        <f t="shared" si="102"/>
        <v>86.999250000000004</v>
      </c>
      <c r="AQ75" s="1" t="str">
        <f t="shared" si="103"/>
        <v/>
      </c>
      <c r="AR75" s="1" t="str">
        <f t="shared" si="104"/>
        <v/>
      </c>
      <c r="AS75" s="1" t="str">
        <f t="shared" si="105"/>
        <v/>
      </c>
      <c r="AT75" s="1" t="str">
        <f t="shared" si="106"/>
        <v/>
      </c>
      <c r="AU75" s="1" t="str">
        <f t="shared" si="107"/>
        <v/>
      </c>
    </row>
    <row r="76" spans="1:47" ht="19" customHeight="1" x14ac:dyDescent="0.3">
      <c r="A76" s="57" t="s">
        <v>73</v>
      </c>
      <c r="B76" s="57"/>
      <c r="C76" s="57"/>
      <c r="D76" s="89">
        <f>IF(路线!B4="计算",持有情况!AM46,持有情况!AJ46)-ROW()*0.00001</f>
        <v>194.99923999999999</v>
      </c>
      <c r="E76" s="89">
        <v>1</v>
      </c>
      <c r="F76" s="90">
        <v>0</v>
      </c>
      <c r="G76" s="89">
        <v>1</v>
      </c>
      <c r="H76" s="90">
        <v>0</v>
      </c>
      <c r="I76" s="1"/>
      <c r="J76" s="89">
        <f>IF(路线!B4="计算",INT((6.4/100)*路线!B11+8*路线!B33+4*路线!B14+30+持有情况!AM45),INT((6.4/100)*路线!B11+8*路线!B33+4*路线!B14+30))-ROW()*0.00001</f>
        <v>194.99923999999999</v>
      </c>
      <c r="L76" s="1">
        <f t="shared" si="72"/>
        <v>194.99923999999999</v>
      </c>
      <c r="M76" s="1" t="str">
        <f t="shared" si="73"/>
        <v/>
      </c>
      <c r="N76" s="1" t="str">
        <f t="shared" si="74"/>
        <v/>
      </c>
      <c r="O76" s="1" t="str">
        <f t="shared" si="75"/>
        <v/>
      </c>
      <c r="P76" s="1" t="str">
        <f t="shared" si="76"/>
        <v/>
      </c>
      <c r="Q76" s="1" t="str">
        <f t="shared" si="77"/>
        <v/>
      </c>
      <c r="R76" s="1" t="str">
        <f t="shared" si="78"/>
        <v/>
      </c>
      <c r="S76" s="1" t="str">
        <f t="shared" si="79"/>
        <v/>
      </c>
      <c r="T76" s="1" t="str">
        <f t="shared" si="80"/>
        <v/>
      </c>
      <c r="U76" s="1" t="str">
        <f t="shared" si="81"/>
        <v/>
      </c>
      <c r="V76" s="1" t="str">
        <f t="shared" si="82"/>
        <v/>
      </c>
      <c r="W76" s="1" t="str">
        <f t="shared" si="83"/>
        <v/>
      </c>
      <c r="X76" s="1" t="str">
        <f t="shared" si="84"/>
        <v/>
      </c>
      <c r="Y76" s="1" t="str">
        <f t="shared" si="85"/>
        <v/>
      </c>
      <c r="Z76" s="1" t="str">
        <f t="shared" si="86"/>
        <v/>
      </c>
      <c r="AA76" s="1" t="str">
        <f t="shared" si="87"/>
        <v/>
      </c>
      <c r="AB76" s="1" t="str">
        <f t="shared" si="88"/>
        <v/>
      </c>
      <c r="AC76" s="1" t="str">
        <f t="shared" si="89"/>
        <v/>
      </c>
      <c r="AD76" s="1">
        <f t="shared" si="90"/>
        <v>194.99923999999999</v>
      </c>
      <c r="AE76" s="1" t="str">
        <f t="shared" si="91"/>
        <v/>
      </c>
      <c r="AF76" s="1" t="str">
        <f t="shared" si="92"/>
        <v/>
      </c>
      <c r="AG76" s="1" t="str">
        <f t="shared" si="93"/>
        <v/>
      </c>
      <c r="AH76" s="1" t="str">
        <f t="shared" si="94"/>
        <v/>
      </c>
      <c r="AI76" s="1" t="str">
        <f t="shared" si="95"/>
        <v/>
      </c>
      <c r="AJ76" s="1" t="str">
        <f t="shared" si="96"/>
        <v/>
      </c>
      <c r="AK76" s="1" t="str">
        <f t="shared" si="97"/>
        <v/>
      </c>
      <c r="AL76" s="1" t="str">
        <f t="shared" si="98"/>
        <v/>
      </c>
      <c r="AM76" s="1" t="str">
        <f t="shared" si="99"/>
        <v/>
      </c>
      <c r="AN76" s="1" t="str">
        <f t="shared" si="100"/>
        <v/>
      </c>
      <c r="AO76" s="1" t="str">
        <f t="shared" si="101"/>
        <v/>
      </c>
      <c r="AP76" s="1" t="str">
        <f t="shared" si="102"/>
        <v/>
      </c>
      <c r="AQ76" s="1" t="str">
        <f t="shared" si="103"/>
        <v/>
      </c>
      <c r="AR76" s="1" t="str">
        <f t="shared" si="104"/>
        <v/>
      </c>
      <c r="AS76" s="1" t="str">
        <f t="shared" si="105"/>
        <v/>
      </c>
      <c r="AT76" s="1" t="str">
        <f t="shared" si="106"/>
        <v/>
      </c>
      <c r="AU76" s="1" t="str">
        <f t="shared" si="107"/>
        <v/>
      </c>
    </row>
    <row r="77" spans="1:47" ht="19" customHeight="1" x14ac:dyDescent="0.3">
      <c r="A77" s="75" t="s">
        <v>49</v>
      </c>
      <c r="B77" s="75"/>
      <c r="C77" s="75"/>
      <c r="D77" s="89">
        <f>持有情况!P28-ROW()*0.00001</f>
        <v>202.99923000000001</v>
      </c>
      <c r="E77" s="90">
        <v>0</v>
      </c>
      <c r="F77" s="90">
        <v>0</v>
      </c>
      <c r="G77" s="89">
        <v>2</v>
      </c>
      <c r="H77" s="89">
        <v>1</v>
      </c>
      <c r="I77" s="84" t="s">
        <v>327</v>
      </c>
      <c r="J77" s="89">
        <f>INT((8.5/100)*路线!B11+17*路线!B34+3*路线!B24+40)-ROW()*0.00001</f>
        <v>202.99923000000001</v>
      </c>
      <c r="L77" s="1" t="str">
        <f t="shared" si="72"/>
        <v/>
      </c>
      <c r="M77" s="1" t="str">
        <f t="shared" si="73"/>
        <v/>
      </c>
      <c r="N77" s="1" t="str">
        <f t="shared" si="74"/>
        <v/>
      </c>
      <c r="O77" s="1">
        <f t="shared" si="75"/>
        <v>202.99923000000001</v>
      </c>
      <c r="P77" s="1">
        <f t="shared" si="76"/>
        <v>202.99923000000001</v>
      </c>
      <c r="Q77" s="1">
        <f t="shared" si="77"/>
        <v>202.99923000000001</v>
      </c>
      <c r="R77" s="1" t="str">
        <f t="shared" si="78"/>
        <v/>
      </c>
      <c r="S77" s="1" t="str">
        <f t="shared" si="79"/>
        <v/>
      </c>
      <c r="T77" s="1" t="str">
        <f t="shared" si="80"/>
        <v/>
      </c>
      <c r="U77" s="1" t="str">
        <f t="shared" si="81"/>
        <v/>
      </c>
      <c r="V77" s="1" t="str">
        <f t="shared" si="82"/>
        <v/>
      </c>
      <c r="W77" s="1" t="str">
        <f t="shared" si="83"/>
        <v/>
      </c>
      <c r="X77" s="1" t="str">
        <f t="shared" si="84"/>
        <v/>
      </c>
      <c r="Y77" s="1" t="str">
        <f t="shared" si="85"/>
        <v/>
      </c>
      <c r="Z77" s="1" t="str">
        <f t="shared" si="86"/>
        <v/>
      </c>
      <c r="AA77" s="1" t="str">
        <f t="shared" si="87"/>
        <v/>
      </c>
      <c r="AB77" s="1" t="str">
        <f t="shared" si="88"/>
        <v/>
      </c>
      <c r="AC77" s="1" t="str">
        <f t="shared" si="89"/>
        <v/>
      </c>
      <c r="AD77" s="1" t="str">
        <f t="shared" si="90"/>
        <v/>
      </c>
      <c r="AE77" s="1">
        <f t="shared" si="91"/>
        <v>202.99923000000001</v>
      </c>
      <c r="AF77" s="1" t="str">
        <f t="shared" si="92"/>
        <v/>
      </c>
      <c r="AG77" s="1" t="str">
        <f t="shared" si="93"/>
        <v/>
      </c>
      <c r="AH77" s="1" t="str">
        <f t="shared" si="94"/>
        <v/>
      </c>
      <c r="AI77" s="1" t="str">
        <f t="shared" si="95"/>
        <v/>
      </c>
      <c r="AJ77" s="1" t="str">
        <f t="shared" si="96"/>
        <v/>
      </c>
      <c r="AK77" s="1">
        <f t="shared" si="97"/>
        <v>202.99923000000001</v>
      </c>
      <c r="AL77" s="1" t="str">
        <f t="shared" si="98"/>
        <v/>
      </c>
      <c r="AM77" s="1" t="str">
        <f t="shared" si="99"/>
        <v/>
      </c>
      <c r="AN77" s="1" t="str">
        <f t="shared" si="100"/>
        <v/>
      </c>
      <c r="AO77" s="1" t="str">
        <f t="shared" si="101"/>
        <v/>
      </c>
      <c r="AP77" s="1" t="str">
        <f t="shared" si="102"/>
        <v/>
      </c>
      <c r="AQ77" s="1">
        <f t="shared" si="103"/>
        <v>202.99923000000001</v>
      </c>
      <c r="AR77" s="1" t="str">
        <f t="shared" si="104"/>
        <v/>
      </c>
      <c r="AS77" s="1" t="str">
        <f t="shared" si="105"/>
        <v/>
      </c>
      <c r="AT77" s="1" t="str">
        <f t="shared" si="106"/>
        <v/>
      </c>
      <c r="AU77" s="1" t="str">
        <f t="shared" si="107"/>
        <v/>
      </c>
    </row>
    <row r="78" spans="1:47" ht="19" customHeight="1" x14ac:dyDescent="0.3">
      <c r="A78" s="75" t="s">
        <v>24</v>
      </c>
      <c r="B78" s="75"/>
      <c r="C78" s="75"/>
      <c r="D78" s="89">
        <f>持有情况!P10-ROW()*0.00001</f>
        <v>187.99922000000001</v>
      </c>
      <c r="E78" s="90">
        <v>0</v>
      </c>
      <c r="F78" s="90">
        <v>0</v>
      </c>
      <c r="G78" s="89">
        <v>2</v>
      </c>
      <c r="H78" s="89">
        <v>1</v>
      </c>
      <c r="I78" s="84" t="s">
        <v>328</v>
      </c>
      <c r="J78" s="89">
        <f>IF(路线!C6="计算",INT(60+6*路线!B14+11*路线!B33+40+20)-ROW()*0.00001,INT(60+6*路线!B14+11*路线!B33+40)-ROW()*0.00001)</f>
        <v>187.99922000000001</v>
      </c>
      <c r="L78" s="1" t="str">
        <f t="shared" si="72"/>
        <v/>
      </c>
      <c r="M78" s="1" t="str">
        <f t="shared" si="73"/>
        <v/>
      </c>
      <c r="N78" s="1" t="str">
        <f t="shared" si="74"/>
        <v/>
      </c>
      <c r="O78" s="1">
        <f t="shared" si="75"/>
        <v>187.99922000000001</v>
      </c>
      <c r="P78" s="1">
        <f t="shared" si="76"/>
        <v>187.99922000000001</v>
      </c>
      <c r="Q78" s="1">
        <f t="shared" si="77"/>
        <v>187.99922000000001</v>
      </c>
      <c r="R78" s="1" t="str">
        <f t="shared" si="78"/>
        <v/>
      </c>
      <c r="S78" s="1" t="str">
        <f t="shared" si="79"/>
        <v/>
      </c>
      <c r="T78" s="1" t="str">
        <f t="shared" si="80"/>
        <v/>
      </c>
      <c r="U78" s="1" t="str">
        <f t="shared" si="81"/>
        <v/>
      </c>
      <c r="V78" s="1" t="str">
        <f t="shared" si="82"/>
        <v/>
      </c>
      <c r="W78" s="1" t="str">
        <f t="shared" si="83"/>
        <v/>
      </c>
      <c r="X78" s="1" t="str">
        <f t="shared" si="84"/>
        <v/>
      </c>
      <c r="Y78" s="1" t="str">
        <f t="shared" si="85"/>
        <v/>
      </c>
      <c r="Z78" s="1" t="str">
        <f t="shared" si="86"/>
        <v/>
      </c>
      <c r="AA78" s="1" t="str">
        <f t="shared" si="87"/>
        <v/>
      </c>
      <c r="AB78" s="1" t="str">
        <f t="shared" si="88"/>
        <v/>
      </c>
      <c r="AC78" s="1" t="str">
        <f t="shared" si="89"/>
        <v/>
      </c>
      <c r="AD78" s="1" t="str">
        <f t="shared" si="90"/>
        <v/>
      </c>
      <c r="AE78" s="1">
        <f t="shared" si="91"/>
        <v>187.99922000000001</v>
      </c>
      <c r="AF78" s="1" t="str">
        <f t="shared" si="92"/>
        <v/>
      </c>
      <c r="AG78" s="1" t="str">
        <f t="shared" si="93"/>
        <v/>
      </c>
      <c r="AH78" s="1" t="str">
        <f t="shared" si="94"/>
        <v/>
      </c>
      <c r="AI78" s="1" t="str">
        <f t="shared" si="95"/>
        <v/>
      </c>
      <c r="AJ78" s="1" t="str">
        <f t="shared" si="96"/>
        <v/>
      </c>
      <c r="AK78" s="1">
        <f t="shared" si="97"/>
        <v>187.99922000000001</v>
      </c>
      <c r="AL78" s="1" t="str">
        <f t="shared" si="98"/>
        <v/>
      </c>
      <c r="AM78" s="1" t="str">
        <f t="shared" si="99"/>
        <v/>
      </c>
      <c r="AN78" s="1" t="str">
        <f t="shared" si="100"/>
        <v/>
      </c>
      <c r="AO78" s="1" t="str">
        <f t="shared" si="101"/>
        <v/>
      </c>
      <c r="AP78" s="1" t="str">
        <f t="shared" si="102"/>
        <v/>
      </c>
      <c r="AQ78" s="1">
        <f t="shared" si="103"/>
        <v>187.99922000000001</v>
      </c>
      <c r="AR78" s="1" t="str">
        <f t="shared" si="104"/>
        <v/>
      </c>
      <c r="AS78" s="1" t="str">
        <f t="shared" si="105"/>
        <v/>
      </c>
      <c r="AT78" s="1" t="str">
        <f t="shared" si="106"/>
        <v/>
      </c>
      <c r="AU78" s="1" t="str">
        <f t="shared" si="107"/>
        <v/>
      </c>
    </row>
    <row r="79" spans="1:47" ht="19" customHeight="1" x14ac:dyDescent="0.3">
      <c r="A79" s="67" t="s">
        <v>122</v>
      </c>
      <c r="B79" s="67"/>
      <c r="C79" s="67"/>
      <c r="D79" s="89">
        <f>持有情况!Z88-ROW()*0.00001</f>
        <v>179.99921000000001</v>
      </c>
      <c r="E79" s="89">
        <v>2</v>
      </c>
      <c r="F79" s="89">
        <v>1</v>
      </c>
      <c r="G79" s="89">
        <v>3</v>
      </c>
      <c r="H79" s="89">
        <v>1</v>
      </c>
      <c r="I79" s="84" t="s">
        <v>329</v>
      </c>
      <c r="J79" s="89">
        <f>INT(60+3*路线!B24+11*路线!B33+40)-ROW()*0.00001</f>
        <v>179.99921000000001</v>
      </c>
      <c r="L79" s="1" t="str">
        <f t="shared" si="72"/>
        <v/>
      </c>
      <c r="M79" s="1" t="str">
        <f t="shared" si="73"/>
        <v/>
      </c>
      <c r="N79" s="1" t="str">
        <f t="shared" si="74"/>
        <v/>
      </c>
      <c r="O79" s="1" t="str">
        <f t="shared" si="75"/>
        <v/>
      </c>
      <c r="P79" s="1" t="str">
        <f t="shared" si="76"/>
        <v/>
      </c>
      <c r="Q79" s="1" t="str">
        <f t="shared" si="77"/>
        <v/>
      </c>
      <c r="R79" s="1" t="str">
        <f t="shared" si="78"/>
        <v/>
      </c>
      <c r="S79" s="1">
        <f t="shared" si="79"/>
        <v>179.99921000000001</v>
      </c>
      <c r="T79" s="1" t="str">
        <f t="shared" si="80"/>
        <v/>
      </c>
      <c r="U79" s="1" t="str">
        <f t="shared" si="81"/>
        <v/>
      </c>
      <c r="V79" s="1" t="str">
        <f t="shared" si="82"/>
        <v/>
      </c>
      <c r="W79" s="1" t="str">
        <f t="shared" si="83"/>
        <v/>
      </c>
      <c r="X79" s="1" t="str">
        <f t="shared" si="84"/>
        <v/>
      </c>
      <c r="Y79" s="1" t="str">
        <f t="shared" si="85"/>
        <v/>
      </c>
      <c r="Z79" s="1">
        <f t="shared" si="86"/>
        <v>179.99921000000001</v>
      </c>
      <c r="AA79" s="1" t="str">
        <f t="shared" si="87"/>
        <v/>
      </c>
      <c r="AB79" s="1" t="str">
        <f t="shared" si="88"/>
        <v/>
      </c>
      <c r="AC79" s="1" t="str">
        <f t="shared" si="89"/>
        <v/>
      </c>
      <c r="AD79" s="1" t="str">
        <f t="shared" si="90"/>
        <v/>
      </c>
      <c r="AE79" s="1" t="str">
        <f t="shared" si="91"/>
        <v/>
      </c>
      <c r="AF79" s="1" t="str">
        <f t="shared" si="92"/>
        <v/>
      </c>
      <c r="AG79" s="1" t="str">
        <f t="shared" si="93"/>
        <v/>
      </c>
      <c r="AH79" s="1" t="str">
        <f t="shared" si="94"/>
        <v/>
      </c>
      <c r="AI79" s="1" t="str">
        <f t="shared" si="95"/>
        <v/>
      </c>
      <c r="AJ79" s="1" t="str">
        <f t="shared" si="96"/>
        <v/>
      </c>
      <c r="AK79" s="1" t="str">
        <f t="shared" si="97"/>
        <v/>
      </c>
      <c r="AL79" s="1" t="str">
        <f t="shared" si="98"/>
        <v/>
      </c>
      <c r="AM79" s="1" t="str">
        <f t="shared" si="99"/>
        <v/>
      </c>
      <c r="AN79" s="1" t="str">
        <f t="shared" si="100"/>
        <v/>
      </c>
      <c r="AO79" s="1">
        <f t="shared" si="101"/>
        <v>179.99921000000001</v>
      </c>
      <c r="AP79" s="1" t="str">
        <f t="shared" si="102"/>
        <v/>
      </c>
      <c r="AQ79" s="1" t="str">
        <f t="shared" si="103"/>
        <v/>
      </c>
      <c r="AR79" s="1" t="str">
        <f t="shared" si="104"/>
        <v/>
      </c>
      <c r="AS79" s="1" t="str">
        <f t="shared" si="105"/>
        <v/>
      </c>
      <c r="AT79" s="1" t="str">
        <f t="shared" si="106"/>
        <v/>
      </c>
      <c r="AU79" s="1" t="str">
        <f t="shared" si="107"/>
        <v/>
      </c>
    </row>
    <row r="80" spans="1:47" ht="19" customHeight="1" x14ac:dyDescent="0.3">
      <c r="A80" s="67" t="s">
        <v>65</v>
      </c>
      <c r="B80" s="67"/>
      <c r="C80" s="67"/>
      <c r="D80" s="89">
        <f>持有情况!Z40-ROW()*0.00001</f>
        <v>152.9992</v>
      </c>
      <c r="E80" s="90">
        <v>0</v>
      </c>
      <c r="F80" s="89">
        <v>1</v>
      </c>
      <c r="G80" s="89">
        <v>3</v>
      </c>
      <c r="H80" s="89">
        <v>1</v>
      </c>
      <c r="I80" s="84" t="s">
        <v>330</v>
      </c>
      <c r="J80" s="89">
        <f>IF(路线!C6="计算",INT(60+4*路线!B14+17+40+20)-ROW()*0.00001,INT(60+4*路线!B14+17+40)-ROW()*0.00001)</f>
        <v>152.9992</v>
      </c>
      <c r="L80" s="1" t="str">
        <f t="shared" si="72"/>
        <v/>
      </c>
      <c r="M80" s="1" t="str">
        <f t="shared" si="73"/>
        <v/>
      </c>
      <c r="N80" s="1" t="str">
        <f t="shared" si="74"/>
        <v/>
      </c>
      <c r="O80" s="1" t="str">
        <f t="shared" si="75"/>
        <v/>
      </c>
      <c r="P80" s="1" t="str">
        <f t="shared" si="76"/>
        <v/>
      </c>
      <c r="Q80" s="1" t="str">
        <f t="shared" si="77"/>
        <v/>
      </c>
      <c r="R80" s="1">
        <f t="shared" si="78"/>
        <v>152.9992</v>
      </c>
      <c r="S80" s="1">
        <f t="shared" si="79"/>
        <v>152.9992</v>
      </c>
      <c r="T80" s="1">
        <f t="shared" si="80"/>
        <v>152.9992</v>
      </c>
      <c r="U80" s="1" t="str">
        <f t="shared" si="81"/>
        <v/>
      </c>
      <c r="V80" s="1" t="str">
        <f t="shared" si="82"/>
        <v/>
      </c>
      <c r="W80" s="1">
        <f t="shared" si="83"/>
        <v>152.9992</v>
      </c>
      <c r="X80" s="1" t="str">
        <f t="shared" si="84"/>
        <v/>
      </c>
      <c r="Y80" s="1" t="str">
        <f t="shared" si="85"/>
        <v/>
      </c>
      <c r="Z80" s="1">
        <f t="shared" si="86"/>
        <v>152.9992</v>
      </c>
      <c r="AA80" s="1" t="str">
        <f t="shared" si="87"/>
        <v/>
      </c>
      <c r="AB80" s="1" t="str">
        <f t="shared" si="88"/>
        <v/>
      </c>
      <c r="AC80" s="1">
        <f t="shared" si="89"/>
        <v>152.9992</v>
      </c>
      <c r="AD80" s="1" t="str">
        <f t="shared" si="90"/>
        <v/>
      </c>
      <c r="AE80" s="1" t="str">
        <f t="shared" si="91"/>
        <v/>
      </c>
      <c r="AF80" s="1" t="str">
        <f t="shared" si="92"/>
        <v/>
      </c>
      <c r="AG80" s="1" t="str">
        <f t="shared" si="93"/>
        <v/>
      </c>
      <c r="AH80" s="1" t="str">
        <f t="shared" si="94"/>
        <v/>
      </c>
      <c r="AI80" s="1">
        <f t="shared" si="95"/>
        <v>152.9992</v>
      </c>
      <c r="AJ80" s="1" t="str">
        <f t="shared" si="96"/>
        <v/>
      </c>
      <c r="AK80" s="1" t="str">
        <f t="shared" si="97"/>
        <v/>
      </c>
      <c r="AL80" s="1" t="str">
        <f t="shared" si="98"/>
        <v/>
      </c>
      <c r="AM80" s="1" t="str">
        <f t="shared" si="99"/>
        <v/>
      </c>
      <c r="AN80" s="1" t="str">
        <f t="shared" si="100"/>
        <v/>
      </c>
      <c r="AO80" s="1">
        <f t="shared" si="101"/>
        <v>152.9992</v>
      </c>
      <c r="AP80" s="1" t="str">
        <f t="shared" si="102"/>
        <v/>
      </c>
      <c r="AQ80" s="1" t="str">
        <f t="shared" si="103"/>
        <v/>
      </c>
      <c r="AR80" s="1" t="str">
        <f t="shared" si="104"/>
        <v/>
      </c>
      <c r="AS80" s="1" t="str">
        <f t="shared" si="105"/>
        <v/>
      </c>
      <c r="AT80" s="1" t="str">
        <f t="shared" si="106"/>
        <v/>
      </c>
      <c r="AU80" s="1">
        <f t="shared" si="107"/>
        <v>152.9992</v>
      </c>
    </row>
    <row r="81" spans="1:47" ht="19" customHeight="1" x14ac:dyDescent="0.3">
      <c r="A81" s="75" t="s">
        <v>95</v>
      </c>
      <c r="B81" s="75"/>
      <c r="C81" s="75"/>
      <c r="D81" s="89">
        <f>持有情况!AT64-ROW()*0.00001</f>
        <v>159.99919</v>
      </c>
      <c r="E81" s="89">
        <v>2</v>
      </c>
      <c r="F81" s="90">
        <v>0</v>
      </c>
      <c r="G81" s="89">
        <v>2</v>
      </c>
      <c r="H81" s="89">
        <v>1</v>
      </c>
      <c r="I81" s="84" t="s">
        <v>331</v>
      </c>
      <c r="J81" s="89">
        <f>IF(路线!C6="计算",INT(45+8*路线!B33+11*路线!B34+10*路线!B31+30+20)-ROW()*0.00001,INT(45+8*路线!B33+11*路线!B34+10*路线!B31+30)-ROW()*0.00001)</f>
        <v>159.99919</v>
      </c>
      <c r="L81" s="1" t="str">
        <f t="shared" si="72"/>
        <v/>
      </c>
      <c r="M81" s="1" t="str">
        <f t="shared" si="73"/>
        <v/>
      </c>
      <c r="N81" s="1" t="str">
        <f t="shared" si="74"/>
        <v/>
      </c>
      <c r="O81" s="1" t="str">
        <f t="shared" si="75"/>
        <v/>
      </c>
      <c r="P81" s="1">
        <f t="shared" si="76"/>
        <v>159.99919</v>
      </c>
      <c r="Q81" s="1" t="str">
        <f t="shared" si="77"/>
        <v/>
      </c>
      <c r="R81" s="1" t="str">
        <f t="shared" si="78"/>
        <v/>
      </c>
      <c r="S81" s="1" t="str">
        <f t="shared" si="79"/>
        <v/>
      </c>
      <c r="T81" s="1" t="str">
        <f t="shared" si="80"/>
        <v/>
      </c>
      <c r="U81" s="1" t="str">
        <f t="shared" si="81"/>
        <v/>
      </c>
      <c r="V81" s="1" t="str">
        <f t="shared" si="82"/>
        <v/>
      </c>
      <c r="W81" s="1" t="str">
        <f t="shared" si="83"/>
        <v/>
      </c>
      <c r="X81" s="1" t="str">
        <f t="shared" si="84"/>
        <v/>
      </c>
      <c r="Y81" s="1" t="str">
        <f t="shared" si="85"/>
        <v/>
      </c>
      <c r="Z81" s="1" t="str">
        <f t="shared" si="86"/>
        <v/>
      </c>
      <c r="AA81" s="1" t="str">
        <f t="shared" si="87"/>
        <v/>
      </c>
      <c r="AB81" s="1" t="str">
        <f t="shared" si="88"/>
        <v/>
      </c>
      <c r="AC81" s="1" t="str">
        <f t="shared" si="89"/>
        <v/>
      </c>
      <c r="AD81" s="1" t="str">
        <f t="shared" si="90"/>
        <v/>
      </c>
      <c r="AE81" s="1" t="str">
        <f t="shared" si="91"/>
        <v/>
      </c>
      <c r="AF81" s="1" t="str">
        <f t="shared" si="92"/>
        <v/>
      </c>
      <c r="AG81" s="1" t="str">
        <f t="shared" si="93"/>
        <v/>
      </c>
      <c r="AH81" s="1" t="str">
        <f t="shared" si="94"/>
        <v/>
      </c>
      <c r="AI81" s="1" t="str">
        <f t="shared" si="95"/>
        <v/>
      </c>
      <c r="AJ81" s="1" t="str">
        <f t="shared" si="96"/>
        <v/>
      </c>
      <c r="AK81" s="1">
        <f t="shared" si="97"/>
        <v>159.99919</v>
      </c>
      <c r="AL81" s="1" t="str">
        <f t="shared" si="98"/>
        <v/>
      </c>
      <c r="AM81" s="1" t="str">
        <f t="shared" si="99"/>
        <v/>
      </c>
      <c r="AN81" s="1" t="str">
        <f t="shared" si="100"/>
        <v/>
      </c>
      <c r="AO81" s="1" t="str">
        <f t="shared" si="101"/>
        <v/>
      </c>
      <c r="AP81" s="1" t="str">
        <f t="shared" si="102"/>
        <v/>
      </c>
      <c r="AQ81" s="1" t="str">
        <f t="shared" si="103"/>
        <v/>
      </c>
      <c r="AR81" s="1" t="str">
        <f t="shared" si="104"/>
        <v/>
      </c>
      <c r="AS81" s="1" t="str">
        <f t="shared" si="105"/>
        <v/>
      </c>
      <c r="AT81" s="1" t="str">
        <f t="shared" si="106"/>
        <v/>
      </c>
      <c r="AU81" s="1" t="str">
        <f t="shared" si="107"/>
        <v/>
      </c>
    </row>
    <row r="82" spans="1:47" ht="19" customHeight="1" x14ac:dyDescent="0.3">
      <c r="A82" s="67" t="s">
        <v>2</v>
      </c>
      <c r="B82" s="67"/>
      <c r="C82" s="67"/>
      <c r="D82" s="89">
        <f>持有情况!Z4-ROW()*0.00001</f>
        <v>159.99918</v>
      </c>
      <c r="E82" s="90">
        <v>0</v>
      </c>
      <c r="F82" s="90">
        <v>0</v>
      </c>
      <c r="G82" s="89">
        <v>3</v>
      </c>
      <c r="H82" s="89">
        <v>1</v>
      </c>
      <c r="I82" s="84" t="s">
        <v>332</v>
      </c>
      <c r="J82" s="89">
        <f>IF(路线!C6="计算",INT(60+2*路线!B24+4*路线!B14+40+20)-ROW()*0.00001,INT(60+2*路线!B24+4*路线!B14+40)-ROW()*0.00001)</f>
        <v>159.99918</v>
      </c>
      <c r="L82" s="1" t="str">
        <f t="shared" si="72"/>
        <v/>
      </c>
      <c r="M82" s="1" t="str">
        <f t="shared" si="73"/>
        <v/>
      </c>
      <c r="N82" s="1" t="str">
        <f t="shared" si="74"/>
        <v/>
      </c>
      <c r="O82" s="1" t="str">
        <f t="shared" si="75"/>
        <v/>
      </c>
      <c r="P82" s="1" t="str">
        <f t="shared" si="76"/>
        <v/>
      </c>
      <c r="Q82" s="1" t="str">
        <f t="shared" si="77"/>
        <v/>
      </c>
      <c r="R82" s="1">
        <f t="shared" si="78"/>
        <v>159.99918</v>
      </c>
      <c r="S82" s="1">
        <f t="shared" si="79"/>
        <v>159.99918</v>
      </c>
      <c r="T82" s="1">
        <f t="shared" si="80"/>
        <v>159.99918</v>
      </c>
      <c r="U82" s="1" t="str">
        <f t="shared" si="81"/>
        <v/>
      </c>
      <c r="V82" s="1" t="str">
        <f t="shared" si="82"/>
        <v/>
      </c>
      <c r="W82" s="1" t="str">
        <f t="shared" si="83"/>
        <v/>
      </c>
      <c r="X82" s="1" t="str">
        <f t="shared" si="84"/>
        <v/>
      </c>
      <c r="Y82" s="1" t="str">
        <f t="shared" si="85"/>
        <v/>
      </c>
      <c r="Z82" s="1" t="str">
        <f t="shared" si="86"/>
        <v/>
      </c>
      <c r="AA82" s="1" t="str">
        <f t="shared" si="87"/>
        <v/>
      </c>
      <c r="AB82" s="1" t="str">
        <f t="shared" si="88"/>
        <v/>
      </c>
      <c r="AC82" s="1" t="str">
        <f t="shared" si="89"/>
        <v/>
      </c>
      <c r="AD82" s="1" t="str">
        <f t="shared" si="90"/>
        <v/>
      </c>
      <c r="AE82" s="1" t="str">
        <f t="shared" si="91"/>
        <v/>
      </c>
      <c r="AF82" s="1">
        <f t="shared" si="92"/>
        <v>159.99918</v>
      </c>
      <c r="AG82" s="1" t="str">
        <f t="shared" si="93"/>
        <v/>
      </c>
      <c r="AH82" s="1" t="str">
        <f t="shared" si="94"/>
        <v/>
      </c>
      <c r="AI82" s="1" t="str">
        <f t="shared" si="95"/>
        <v/>
      </c>
      <c r="AJ82" s="1" t="str">
        <f t="shared" si="96"/>
        <v/>
      </c>
      <c r="AK82" s="1" t="str">
        <f t="shared" si="97"/>
        <v/>
      </c>
      <c r="AL82" s="1">
        <f t="shared" si="98"/>
        <v>159.99918</v>
      </c>
      <c r="AM82" s="1" t="str">
        <f t="shared" si="99"/>
        <v/>
      </c>
      <c r="AN82" s="1" t="str">
        <f t="shared" si="100"/>
        <v/>
      </c>
      <c r="AO82" s="1" t="str">
        <f t="shared" si="101"/>
        <v/>
      </c>
      <c r="AP82" s="1" t="str">
        <f t="shared" si="102"/>
        <v/>
      </c>
      <c r="AQ82" s="1" t="str">
        <f t="shared" si="103"/>
        <v/>
      </c>
      <c r="AR82" s="1">
        <f t="shared" si="104"/>
        <v>159.99918</v>
      </c>
      <c r="AS82" s="1" t="str">
        <f t="shared" si="105"/>
        <v/>
      </c>
      <c r="AT82" s="1" t="str">
        <f t="shared" si="106"/>
        <v/>
      </c>
      <c r="AU82" s="1" t="str">
        <f t="shared" si="107"/>
        <v/>
      </c>
    </row>
    <row r="83" spans="1:47" ht="19" customHeight="1" x14ac:dyDescent="0.3">
      <c r="A83" s="67" t="s">
        <v>83</v>
      </c>
      <c r="B83" s="67"/>
      <c r="C83" s="67"/>
      <c r="D83" s="89">
        <f>持有情况!BD52-ROW()*0.00001</f>
        <v>159.99916999999999</v>
      </c>
      <c r="E83" s="89">
        <v>2</v>
      </c>
      <c r="F83" s="89">
        <v>1</v>
      </c>
      <c r="G83" s="89">
        <v>3</v>
      </c>
      <c r="H83" s="90">
        <v>0</v>
      </c>
      <c r="I83" s="1"/>
      <c r="J83" s="89">
        <f>INT(45+11*路线!B34+13*路线!B15+30)-ROW()*0.00001</f>
        <v>159.99916999999999</v>
      </c>
      <c r="L83" s="1" t="str">
        <f t="shared" si="72"/>
        <v/>
      </c>
      <c r="M83" s="1" t="str">
        <f t="shared" si="73"/>
        <v/>
      </c>
      <c r="N83" s="1" t="str">
        <f t="shared" si="74"/>
        <v/>
      </c>
      <c r="O83" s="1" t="str">
        <f t="shared" si="75"/>
        <v/>
      </c>
      <c r="P83" s="1" t="str">
        <f t="shared" si="76"/>
        <v/>
      </c>
      <c r="Q83" s="1" t="str">
        <f t="shared" si="77"/>
        <v/>
      </c>
      <c r="R83" s="1" t="str">
        <f t="shared" si="78"/>
        <v/>
      </c>
      <c r="S83" s="1">
        <f t="shared" si="79"/>
        <v>159.99916999999999</v>
      </c>
      <c r="T83" s="1" t="str">
        <f t="shared" si="80"/>
        <v/>
      </c>
      <c r="U83" s="1" t="str">
        <f t="shared" si="81"/>
        <v/>
      </c>
      <c r="V83" s="1" t="str">
        <f t="shared" si="82"/>
        <v/>
      </c>
      <c r="W83" s="1" t="str">
        <f t="shared" si="83"/>
        <v/>
      </c>
      <c r="X83" s="1" t="str">
        <f t="shared" si="84"/>
        <v/>
      </c>
      <c r="Y83" s="1" t="str">
        <f t="shared" si="85"/>
        <v/>
      </c>
      <c r="Z83" s="1">
        <f t="shared" si="86"/>
        <v>159.99916999999999</v>
      </c>
      <c r="AA83" s="1" t="str">
        <f t="shared" si="87"/>
        <v/>
      </c>
      <c r="AB83" s="1" t="str">
        <f t="shared" si="88"/>
        <v/>
      </c>
      <c r="AC83" s="1" t="str">
        <f t="shared" si="89"/>
        <v/>
      </c>
      <c r="AD83" s="1" t="str">
        <f t="shared" si="90"/>
        <v/>
      </c>
      <c r="AE83" s="1" t="str">
        <f t="shared" si="91"/>
        <v/>
      </c>
      <c r="AF83" s="1" t="str">
        <f t="shared" si="92"/>
        <v/>
      </c>
      <c r="AG83" s="1" t="str">
        <f t="shared" si="93"/>
        <v/>
      </c>
      <c r="AH83" s="1" t="str">
        <f t="shared" si="94"/>
        <v/>
      </c>
      <c r="AI83" s="1" t="str">
        <f t="shared" si="95"/>
        <v/>
      </c>
      <c r="AJ83" s="1" t="str">
        <f t="shared" si="96"/>
        <v/>
      </c>
      <c r="AK83" s="1" t="str">
        <f t="shared" si="97"/>
        <v/>
      </c>
      <c r="AL83" s="1" t="str">
        <f t="shared" si="98"/>
        <v/>
      </c>
      <c r="AM83" s="1" t="str">
        <f t="shared" si="99"/>
        <v/>
      </c>
      <c r="AN83" s="1" t="str">
        <f t="shared" si="100"/>
        <v/>
      </c>
      <c r="AO83" s="1">
        <f t="shared" si="101"/>
        <v>159.99916999999999</v>
      </c>
      <c r="AP83" s="1" t="str">
        <f t="shared" si="102"/>
        <v/>
      </c>
      <c r="AQ83" s="1" t="str">
        <f t="shared" si="103"/>
        <v/>
      </c>
      <c r="AR83" s="1" t="str">
        <f t="shared" si="104"/>
        <v/>
      </c>
      <c r="AS83" s="1" t="str">
        <f t="shared" si="105"/>
        <v/>
      </c>
      <c r="AT83" s="1" t="str">
        <f t="shared" si="106"/>
        <v/>
      </c>
      <c r="AU83" s="1" t="str">
        <f t="shared" si="107"/>
        <v/>
      </c>
    </row>
    <row r="84" spans="1:47" ht="19" customHeight="1" x14ac:dyDescent="0.3">
      <c r="A84" s="57" t="s">
        <v>58</v>
      </c>
      <c r="B84" s="57"/>
      <c r="C84" s="57"/>
      <c r="D84" s="89">
        <f>持有情况!AJ34-ROW()*0.00001</f>
        <v>128.99915999999999</v>
      </c>
      <c r="E84" s="89">
        <v>2</v>
      </c>
      <c r="F84" s="90">
        <v>0</v>
      </c>
      <c r="G84" s="89">
        <v>1</v>
      </c>
      <c r="H84" s="89">
        <v>1</v>
      </c>
      <c r="I84" s="1"/>
      <c r="J84" s="89">
        <f>IF(路线!C6="计算",INT(45+10*路线!B31+17*路线!B32+30+20)-ROW()*0.00001,INT(45+10*路线!B31+17*路线!B32+30)-ROW()*0.00001)</f>
        <v>128.99915999999999</v>
      </c>
      <c r="L84" s="1" t="str">
        <f t="shared" si="72"/>
        <v/>
      </c>
      <c r="M84" s="1">
        <f t="shared" si="73"/>
        <v>128.99915999999999</v>
      </c>
      <c r="N84" s="1" t="str">
        <f t="shared" si="74"/>
        <v/>
      </c>
      <c r="O84" s="1" t="str">
        <f t="shared" si="75"/>
        <v/>
      </c>
      <c r="P84" s="1" t="str">
        <f t="shared" si="76"/>
        <v/>
      </c>
      <c r="Q84" s="1" t="str">
        <f t="shared" si="77"/>
        <v/>
      </c>
      <c r="R84" s="1" t="str">
        <f t="shared" si="78"/>
        <v/>
      </c>
      <c r="S84" s="1" t="str">
        <f t="shared" si="79"/>
        <v/>
      </c>
      <c r="T84" s="1" t="str">
        <f t="shared" si="80"/>
        <v/>
      </c>
      <c r="U84" s="1" t="str">
        <f t="shared" si="81"/>
        <v/>
      </c>
      <c r="V84" s="1" t="str">
        <f t="shared" si="82"/>
        <v/>
      </c>
      <c r="W84" s="1" t="str">
        <f t="shared" si="83"/>
        <v/>
      </c>
      <c r="X84" s="1" t="str">
        <f t="shared" si="84"/>
        <v/>
      </c>
      <c r="Y84" s="1" t="str">
        <f t="shared" si="85"/>
        <v/>
      </c>
      <c r="Z84" s="1" t="str">
        <f t="shared" si="86"/>
        <v/>
      </c>
      <c r="AA84" s="1" t="str">
        <f t="shared" si="87"/>
        <v/>
      </c>
      <c r="AB84" s="1" t="str">
        <f t="shared" si="88"/>
        <v/>
      </c>
      <c r="AC84" s="1" t="str">
        <f t="shared" si="89"/>
        <v/>
      </c>
      <c r="AD84" s="1" t="str">
        <f t="shared" si="90"/>
        <v/>
      </c>
      <c r="AE84" s="1" t="str">
        <f t="shared" si="91"/>
        <v/>
      </c>
      <c r="AF84" s="1" t="str">
        <f t="shared" si="92"/>
        <v/>
      </c>
      <c r="AG84" s="1" t="str">
        <f t="shared" si="93"/>
        <v/>
      </c>
      <c r="AH84" s="1" t="str">
        <f t="shared" si="94"/>
        <v/>
      </c>
      <c r="AI84" s="1" t="str">
        <f t="shared" si="95"/>
        <v/>
      </c>
      <c r="AJ84" s="1">
        <f t="shared" si="96"/>
        <v>128.99915999999999</v>
      </c>
      <c r="AK84" s="1" t="str">
        <f t="shared" si="97"/>
        <v/>
      </c>
      <c r="AL84" s="1" t="str">
        <f t="shared" si="98"/>
        <v/>
      </c>
      <c r="AM84" s="1" t="str">
        <f t="shared" si="99"/>
        <v/>
      </c>
      <c r="AN84" s="1" t="str">
        <f t="shared" si="100"/>
        <v/>
      </c>
      <c r="AO84" s="1" t="str">
        <f t="shared" si="101"/>
        <v/>
      </c>
      <c r="AP84" s="1" t="str">
        <f t="shared" si="102"/>
        <v/>
      </c>
      <c r="AQ84" s="1" t="str">
        <f t="shared" si="103"/>
        <v/>
      </c>
      <c r="AR84" s="1" t="str">
        <f t="shared" si="104"/>
        <v/>
      </c>
      <c r="AS84" s="1" t="str">
        <f t="shared" si="105"/>
        <v/>
      </c>
      <c r="AT84" s="1" t="str">
        <f t="shared" si="106"/>
        <v/>
      </c>
      <c r="AU84" s="1" t="str">
        <f t="shared" si="107"/>
        <v/>
      </c>
    </row>
    <row r="85" spans="1:47" ht="19" customHeight="1" x14ac:dyDescent="0.3">
      <c r="A85" s="67" t="s">
        <v>96</v>
      </c>
      <c r="B85" s="67"/>
      <c r="C85" s="67"/>
      <c r="D85" s="89">
        <f>持有情况!BD64-ROW()*0.00001</f>
        <v>74.99915</v>
      </c>
      <c r="E85" s="90">
        <v>0</v>
      </c>
      <c r="F85" s="89">
        <v>1</v>
      </c>
      <c r="G85" s="89">
        <v>3</v>
      </c>
      <c r="H85" s="90">
        <v>0</v>
      </c>
      <c r="I85" s="1"/>
      <c r="J85" s="89">
        <f>INT(45+10*路线!B31+30)-ROW()*0.00001</f>
        <v>74.99915</v>
      </c>
      <c r="L85" s="1" t="str">
        <f t="shared" si="72"/>
        <v/>
      </c>
      <c r="M85" s="1" t="str">
        <f t="shared" si="73"/>
        <v/>
      </c>
      <c r="N85" s="1" t="str">
        <f t="shared" si="74"/>
        <v/>
      </c>
      <c r="O85" s="1" t="str">
        <f t="shared" si="75"/>
        <v/>
      </c>
      <c r="P85" s="1" t="str">
        <f t="shared" si="76"/>
        <v/>
      </c>
      <c r="Q85" s="1" t="str">
        <f t="shared" si="77"/>
        <v/>
      </c>
      <c r="R85" s="1">
        <f t="shared" si="78"/>
        <v>74.99915</v>
      </c>
      <c r="S85" s="1">
        <f t="shared" si="79"/>
        <v>74.99915</v>
      </c>
      <c r="T85" s="1">
        <f t="shared" si="80"/>
        <v>74.99915</v>
      </c>
      <c r="U85" s="1" t="str">
        <f t="shared" si="81"/>
        <v/>
      </c>
      <c r="V85" s="1" t="str">
        <f t="shared" si="82"/>
        <v/>
      </c>
      <c r="W85" s="1">
        <f t="shared" si="83"/>
        <v>74.99915</v>
      </c>
      <c r="X85" s="1" t="str">
        <f t="shared" si="84"/>
        <v/>
      </c>
      <c r="Y85" s="1" t="str">
        <f t="shared" si="85"/>
        <v/>
      </c>
      <c r="Z85" s="1">
        <f t="shared" si="86"/>
        <v>74.99915</v>
      </c>
      <c r="AA85" s="1" t="str">
        <f t="shared" si="87"/>
        <v/>
      </c>
      <c r="AB85" s="1" t="str">
        <f t="shared" si="88"/>
        <v/>
      </c>
      <c r="AC85" s="1">
        <f t="shared" si="89"/>
        <v>74.99915</v>
      </c>
      <c r="AD85" s="1" t="str">
        <f t="shared" si="90"/>
        <v/>
      </c>
      <c r="AE85" s="1" t="str">
        <f t="shared" si="91"/>
        <v/>
      </c>
      <c r="AF85" s="1" t="str">
        <f t="shared" si="92"/>
        <v/>
      </c>
      <c r="AG85" s="1" t="str">
        <f t="shared" si="93"/>
        <v/>
      </c>
      <c r="AH85" s="1" t="str">
        <f t="shared" si="94"/>
        <v/>
      </c>
      <c r="AI85" s="1">
        <f t="shared" si="95"/>
        <v>74.99915</v>
      </c>
      <c r="AJ85" s="1" t="str">
        <f t="shared" si="96"/>
        <v/>
      </c>
      <c r="AK85" s="1" t="str">
        <f t="shared" si="97"/>
        <v/>
      </c>
      <c r="AL85" s="1" t="str">
        <f t="shared" si="98"/>
        <v/>
      </c>
      <c r="AM85" s="1" t="str">
        <f t="shared" si="99"/>
        <v/>
      </c>
      <c r="AN85" s="1" t="str">
        <f t="shared" si="100"/>
        <v/>
      </c>
      <c r="AO85" s="1">
        <f t="shared" si="101"/>
        <v>74.99915</v>
      </c>
      <c r="AP85" s="1" t="str">
        <f t="shared" si="102"/>
        <v/>
      </c>
      <c r="AQ85" s="1" t="str">
        <f t="shared" si="103"/>
        <v/>
      </c>
      <c r="AR85" s="1" t="str">
        <f t="shared" si="104"/>
        <v/>
      </c>
      <c r="AS85" s="1" t="str">
        <f t="shared" si="105"/>
        <v/>
      </c>
      <c r="AT85" s="1" t="str">
        <f t="shared" si="106"/>
        <v/>
      </c>
      <c r="AU85" s="1">
        <f t="shared" si="107"/>
        <v>74.99915</v>
      </c>
    </row>
    <row r="86" spans="1:47" ht="19" customHeight="1" x14ac:dyDescent="0.3">
      <c r="A86" s="67" t="s">
        <v>57</v>
      </c>
      <c r="B86" s="67"/>
      <c r="C86" s="67"/>
      <c r="D86" s="89">
        <f>持有情况!Z34-ROW()*0.00001</f>
        <v>167.99914000000001</v>
      </c>
      <c r="E86" s="90">
        <v>0</v>
      </c>
      <c r="F86" s="90">
        <v>0</v>
      </c>
      <c r="G86" s="89">
        <v>3</v>
      </c>
      <c r="H86" s="89">
        <v>1</v>
      </c>
      <c r="I86" s="84" t="s">
        <v>333</v>
      </c>
      <c r="J86" s="89">
        <f>INT(60+6*路线!B14+22*路线!B32+40)-ROW()*0.00001</f>
        <v>167.99914000000001</v>
      </c>
      <c r="L86" s="1" t="str">
        <f t="shared" si="72"/>
        <v/>
      </c>
      <c r="M86" s="1" t="str">
        <f t="shared" si="73"/>
        <v/>
      </c>
      <c r="N86" s="1" t="str">
        <f t="shared" si="74"/>
        <v/>
      </c>
      <c r="O86" s="1" t="str">
        <f t="shared" si="75"/>
        <v/>
      </c>
      <c r="P86" s="1" t="str">
        <f t="shared" si="76"/>
        <v/>
      </c>
      <c r="Q86" s="1" t="str">
        <f t="shared" si="77"/>
        <v/>
      </c>
      <c r="R86" s="1">
        <f t="shared" si="78"/>
        <v>167.99914000000001</v>
      </c>
      <c r="S86" s="1">
        <f t="shared" si="79"/>
        <v>167.99914000000001</v>
      </c>
      <c r="T86" s="1">
        <f t="shared" si="80"/>
        <v>167.99914000000001</v>
      </c>
      <c r="U86" s="1" t="str">
        <f t="shared" si="81"/>
        <v/>
      </c>
      <c r="V86" s="1" t="str">
        <f t="shared" si="82"/>
        <v/>
      </c>
      <c r="W86" s="1" t="str">
        <f t="shared" si="83"/>
        <v/>
      </c>
      <c r="X86" s="1" t="str">
        <f t="shared" si="84"/>
        <v/>
      </c>
      <c r="Y86" s="1" t="str">
        <f t="shared" si="85"/>
        <v/>
      </c>
      <c r="Z86" s="1" t="str">
        <f t="shared" si="86"/>
        <v/>
      </c>
      <c r="AA86" s="1" t="str">
        <f t="shared" si="87"/>
        <v/>
      </c>
      <c r="AB86" s="1" t="str">
        <f t="shared" si="88"/>
        <v/>
      </c>
      <c r="AC86" s="1" t="str">
        <f t="shared" si="89"/>
        <v/>
      </c>
      <c r="AD86" s="1" t="str">
        <f t="shared" si="90"/>
        <v/>
      </c>
      <c r="AE86" s="1" t="str">
        <f t="shared" si="91"/>
        <v/>
      </c>
      <c r="AF86" s="1">
        <f t="shared" si="92"/>
        <v>167.99914000000001</v>
      </c>
      <c r="AG86" s="1" t="str">
        <f t="shared" si="93"/>
        <v/>
      </c>
      <c r="AH86" s="1" t="str">
        <f t="shared" si="94"/>
        <v/>
      </c>
      <c r="AI86" s="1" t="str">
        <f t="shared" si="95"/>
        <v/>
      </c>
      <c r="AJ86" s="1" t="str">
        <f t="shared" si="96"/>
        <v/>
      </c>
      <c r="AK86" s="1" t="str">
        <f t="shared" si="97"/>
        <v/>
      </c>
      <c r="AL86" s="1">
        <f t="shared" si="98"/>
        <v>167.99914000000001</v>
      </c>
      <c r="AM86" s="1" t="str">
        <f t="shared" si="99"/>
        <v/>
      </c>
      <c r="AN86" s="1" t="str">
        <f t="shared" si="100"/>
        <v/>
      </c>
      <c r="AO86" s="1" t="str">
        <f t="shared" si="101"/>
        <v/>
      </c>
      <c r="AP86" s="1" t="str">
        <f t="shared" si="102"/>
        <v/>
      </c>
      <c r="AQ86" s="1" t="str">
        <f t="shared" si="103"/>
        <v/>
      </c>
      <c r="AR86" s="1">
        <f t="shared" si="104"/>
        <v>167.99914000000001</v>
      </c>
      <c r="AS86" s="1" t="str">
        <f t="shared" si="105"/>
        <v/>
      </c>
      <c r="AT86" s="1" t="str">
        <f t="shared" si="106"/>
        <v/>
      </c>
      <c r="AU86" s="1" t="str">
        <f t="shared" si="107"/>
        <v/>
      </c>
    </row>
    <row r="87" spans="1:47" ht="19" customHeight="1" x14ac:dyDescent="0.3">
      <c r="A87" s="75" t="s">
        <v>59</v>
      </c>
      <c r="B87" s="75"/>
      <c r="C87" s="75"/>
      <c r="D87" s="89">
        <f>IF(路线!B4="计算",持有情况!AW34,持有情况!AT34)-ROW()*0.00001</f>
        <v>183.99913000000001</v>
      </c>
      <c r="E87" s="89">
        <v>1</v>
      </c>
      <c r="F87" s="89">
        <v>1</v>
      </c>
      <c r="G87" s="89">
        <v>2</v>
      </c>
      <c r="H87" s="90">
        <v>0</v>
      </c>
      <c r="I87" s="1"/>
      <c r="J87" s="89">
        <f>IF(路线!B4="计算",INT(45+11*路线!B34+4*路线!B14+30+持有情况!AW33),INT(45+11*路线!B34+4*路线!B14+30))-ROW()*0.00001</f>
        <v>183.99913000000001</v>
      </c>
      <c r="L87" s="1" t="str">
        <f t="shared" si="72"/>
        <v/>
      </c>
      <c r="M87" s="1" t="str">
        <f t="shared" si="73"/>
        <v/>
      </c>
      <c r="N87" s="1" t="str">
        <f t="shared" si="74"/>
        <v/>
      </c>
      <c r="O87" s="1">
        <f t="shared" si="75"/>
        <v>183.99913000000001</v>
      </c>
      <c r="P87" s="1" t="str">
        <f t="shared" si="76"/>
        <v/>
      </c>
      <c r="Q87" s="1" t="str">
        <f t="shared" si="77"/>
        <v/>
      </c>
      <c r="R87" s="1" t="str">
        <f t="shared" si="78"/>
        <v/>
      </c>
      <c r="S87" s="1" t="str">
        <f t="shared" si="79"/>
        <v/>
      </c>
      <c r="T87" s="1" t="str">
        <f t="shared" si="80"/>
        <v/>
      </c>
      <c r="U87" s="1" t="str">
        <f t="shared" si="81"/>
        <v/>
      </c>
      <c r="V87" s="1">
        <f t="shared" si="82"/>
        <v>183.99913000000001</v>
      </c>
      <c r="W87" s="1" t="str">
        <f t="shared" si="83"/>
        <v/>
      </c>
      <c r="X87" s="1" t="str">
        <f t="shared" si="84"/>
        <v/>
      </c>
      <c r="Y87" s="1" t="str">
        <f t="shared" si="85"/>
        <v/>
      </c>
      <c r="Z87" s="1" t="str">
        <f t="shared" si="86"/>
        <v/>
      </c>
      <c r="AA87" s="1" t="str">
        <f t="shared" si="87"/>
        <v/>
      </c>
      <c r="AB87" s="1" t="str">
        <f t="shared" si="88"/>
        <v/>
      </c>
      <c r="AC87" s="1" t="str">
        <f t="shared" si="89"/>
        <v/>
      </c>
      <c r="AD87" s="1" t="str">
        <f t="shared" si="90"/>
        <v/>
      </c>
      <c r="AE87" s="1" t="str">
        <f t="shared" si="91"/>
        <v/>
      </c>
      <c r="AF87" s="1" t="str">
        <f t="shared" si="92"/>
        <v/>
      </c>
      <c r="AG87" s="1" t="str">
        <f t="shared" si="93"/>
        <v/>
      </c>
      <c r="AH87" s="1">
        <f t="shared" si="94"/>
        <v>183.99913000000001</v>
      </c>
      <c r="AI87" s="1" t="str">
        <f t="shared" si="95"/>
        <v/>
      </c>
      <c r="AJ87" s="1" t="str">
        <f t="shared" si="96"/>
        <v/>
      </c>
      <c r="AK87" s="1" t="str">
        <f t="shared" si="97"/>
        <v/>
      </c>
      <c r="AL87" s="1" t="str">
        <f t="shared" si="98"/>
        <v/>
      </c>
      <c r="AM87" s="1" t="str">
        <f t="shared" si="99"/>
        <v/>
      </c>
      <c r="AN87" s="1" t="str">
        <f t="shared" si="100"/>
        <v/>
      </c>
      <c r="AO87" s="1" t="str">
        <f t="shared" si="101"/>
        <v/>
      </c>
      <c r="AP87" s="1" t="str">
        <f t="shared" si="102"/>
        <v/>
      </c>
      <c r="AQ87" s="1" t="str">
        <f t="shared" si="103"/>
        <v/>
      </c>
      <c r="AR87" s="1" t="str">
        <f t="shared" si="104"/>
        <v/>
      </c>
      <c r="AS87" s="1" t="str">
        <f t="shared" si="105"/>
        <v/>
      </c>
      <c r="AT87" s="1" t="str">
        <f t="shared" si="106"/>
        <v/>
      </c>
      <c r="AU87" s="1" t="str">
        <f t="shared" si="107"/>
        <v/>
      </c>
    </row>
    <row r="88" spans="1:47" ht="19" customHeight="1" x14ac:dyDescent="0.3">
      <c r="A88" s="57" t="s">
        <v>98</v>
      </c>
      <c r="B88" s="57"/>
      <c r="C88" s="57"/>
      <c r="D88" s="89">
        <f>持有情况!F70-ROW()*0.00001</f>
        <v>198.99912</v>
      </c>
      <c r="E88" s="89">
        <v>1</v>
      </c>
      <c r="F88" s="89">
        <v>1</v>
      </c>
      <c r="G88" s="89">
        <v>1</v>
      </c>
      <c r="H88" s="90">
        <v>0</v>
      </c>
      <c r="I88" s="1"/>
      <c r="J88" s="89">
        <f>INT(60+4*路线!B25+17*路线!B34+40)-ROW()*0.00001</f>
        <v>198.99912</v>
      </c>
      <c r="L88" s="1">
        <f t="shared" si="72"/>
        <v>198.99912</v>
      </c>
      <c r="M88" s="1" t="str">
        <f t="shared" si="73"/>
        <v/>
      </c>
      <c r="N88" s="1" t="str">
        <f t="shared" si="74"/>
        <v/>
      </c>
      <c r="O88" s="1" t="str">
        <f t="shared" si="75"/>
        <v/>
      </c>
      <c r="P88" s="1" t="str">
        <f t="shared" si="76"/>
        <v/>
      </c>
      <c r="Q88" s="1" t="str">
        <f t="shared" si="77"/>
        <v/>
      </c>
      <c r="R88" s="1" t="str">
        <f t="shared" si="78"/>
        <v/>
      </c>
      <c r="S88" s="1" t="str">
        <f t="shared" si="79"/>
        <v/>
      </c>
      <c r="T88" s="1" t="str">
        <f t="shared" si="80"/>
        <v/>
      </c>
      <c r="U88" s="1">
        <f t="shared" si="81"/>
        <v>198.99912</v>
      </c>
      <c r="V88" s="1" t="str">
        <f t="shared" si="82"/>
        <v/>
      </c>
      <c r="W88" s="1" t="str">
        <f t="shared" si="83"/>
        <v/>
      </c>
      <c r="X88" s="1" t="str">
        <f t="shared" si="84"/>
        <v/>
      </c>
      <c r="Y88" s="1" t="str">
        <f t="shared" si="85"/>
        <v/>
      </c>
      <c r="Z88" s="1" t="str">
        <f t="shared" si="86"/>
        <v/>
      </c>
      <c r="AA88" s="1" t="str">
        <f t="shared" si="87"/>
        <v/>
      </c>
      <c r="AB88" s="1" t="str">
        <f t="shared" si="88"/>
        <v/>
      </c>
      <c r="AC88" s="1" t="str">
        <f t="shared" si="89"/>
        <v/>
      </c>
      <c r="AD88" s="1" t="str">
        <f t="shared" si="90"/>
        <v/>
      </c>
      <c r="AE88" s="1" t="str">
        <f t="shared" si="91"/>
        <v/>
      </c>
      <c r="AF88" s="1" t="str">
        <f t="shared" si="92"/>
        <v/>
      </c>
      <c r="AG88" s="1">
        <f t="shared" si="93"/>
        <v>198.99912</v>
      </c>
      <c r="AH88" s="1" t="str">
        <f t="shared" si="94"/>
        <v/>
      </c>
      <c r="AI88" s="1" t="str">
        <f t="shared" si="95"/>
        <v/>
      </c>
      <c r="AJ88" s="1" t="str">
        <f t="shared" si="96"/>
        <v/>
      </c>
      <c r="AK88" s="1" t="str">
        <f t="shared" si="97"/>
        <v/>
      </c>
      <c r="AL88" s="1" t="str">
        <f t="shared" si="98"/>
        <v/>
      </c>
      <c r="AM88" s="1" t="str">
        <f t="shared" si="99"/>
        <v/>
      </c>
      <c r="AN88" s="1" t="str">
        <f t="shared" si="100"/>
        <v/>
      </c>
      <c r="AO88" s="1" t="str">
        <f t="shared" si="101"/>
        <v/>
      </c>
      <c r="AP88" s="1" t="str">
        <f t="shared" si="102"/>
        <v/>
      </c>
      <c r="AQ88" s="1" t="str">
        <f t="shared" si="103"/>
        <v/>
      </c>
      <c r="AR88" s="1" t="str">
        <f t="shared" si="104"/>
        <v/>
      </c>
      <c r="AS88" s="1" t="str">
        <f t="shared" si="105"/>
        <v/>
      </c>
      <c r="AT88" s="1" t="str">
        <f t="shared" si="106"/>
        <v/>
      </c>
      <c r="AU88" s="1" t="str">
        <f t="shared" si="107"/>
        <v/>
      </c>
    </row>
    <row r="89" spans="1:47" ht="19" customHeight="1" x14ac:dyDescent="0.3">
      <c r="A89" s="75" t="s">
        <v>99</v>
      </c>
      <c r="B89" s="75"/>
      <c r="C89" s="75"/>
      <c r="D89" s="89">
        <f>持有情况!P70-ROW()*0.00001</f>
        <v>116.99911</v>
      </c>
      <c r="E89" s="89">
        <v>3</v>
      </c>
      <c r="F89" s="89">
        <v>1</v>
      </c>
      <c r="G89" s="89">
        <v>2</v>
      </c>
      <c r="H89" s="89">
        <v>1</v>
      </c>
      <c r="I89" s="84" t="s">
        <v>334</v>
      </c>
      <c r="J89" s="89">
        <f>INT(60+17+40)-ROW()*0.00001</f>
        <v>116.99911</v>
      </c>
      <c r="L89" s="1" t="str">
        <f t="shared" si="72"/>
        <v/>
      </c>
      <c r="M89" s="1" t="str">
        <f t="shared" si="73"/>
        <v/>
      </c>
      <c r="N89" s="1" t="str">
        <f t="shared" si="74"/>
        <v/>
      </c>
      <c r="O89" s="1" t="str">
        <f t="shared" si="75"/>
        <v/>
      </c>
      <c r="P89" s="1" t="str">
        <f t="shared" si="76"/>
        <v/>
      </c>
      <c r="Q89" s="1">
        <f t="shared" si="77"/>
        <v>116.99911</v>
      </c>
      <c r="R89" s="1" t="str">
        <f t="shared" si="78"/>
        <v/>
      </c>
      <c r="S89" s="1" t="str">
        <f t="shared" si="79"/>
        <v/>
      </c>
      <c r="T89" s="1" t="str">
        <f t="shared" si="80"/>
        <v/>
      </c>
      <c r="U89" s="1" t="str">
        <f t="shared" si="81"/>
        <v/>
      </c>
      <c r="V89" s="1" t="str">
        <f t="shared" si="82"/>
        <v/>
      </c>
      <c r="W89" s="1" t="str">
        <f t="shared" si="83"/>
        <v/>
      </c>
      <c r="X89" s="1" t="str">
        <f t="shared" si="84"/>
        <v/>
      </c>
      <c r="Y89" s="1" t="str">
        <f t="shared" si="85"/>
        <v/>
      </c>
      <c r="Z89" s="1" t="str">
        <f t="shared" si="86"/>
        <v/>
      </c>
      <c r="AA89" s="1" t="str">
        <f t="shared" si="87"/>
        <v/>
      </c>
      <c r="AB89" s="1">
        <f t="shared" si="88"/>
        <v>116.99911</v>
      </c>
      <c r="AC89" s="1" t="str">
        <f t="shared" si="89"/>
        <v/>
      </c>
      <c r="AD89" s="1" t="str">
        <f t="shared" si="90"/>
        <v/>
      </c>
      <c r="AE89" s="1" t="str">
        <f t="shared" si="91"/>
        <v/>
      </c>
      <c r="AF89" s="1" t="str">
        <f t="shared" si="92"/>
        <v/>
      </c>
      <c r="AG89" s="1" t="str">
        <f t="shared" si="93"/>
        <v/>
      </c>
      <c r="AH89" s="1" t="str">
        <f t="shared" si="94"/>
        <v/>
      </c>
      <c r="AI89" s="1" t="str">
        <f t="shared" si="95"/>
        <v/>
      </c>
      <c r="AJ89" s="1" t="str">
        <f t="shared" si="96"/>
        <v/>
      </c>
      <c r="AK89" s="1" t="str">
        <f t="shared" si="97"/>
        <v/>
      </c>
      <c r="AL89" s="1" t="str">
        <f t="shared" si="98"/>
        <v/>
      </c>
      <c r="AM89" s="1" t="str">
        <f t="shared" si="99"/>
        <v/>
      </c>
      <c r="AN89" s="1" t="str">
        <f t="shared" si="100"/>
        <v/>
      </c>
      <c r="AO89" s="1" t="str">
        <f t="shared" si="101"/>
        <v/>
      </c>
      <c r="AP89" s="1" t="str">
        <f t="shared" si="102"/>
        <v/>
      </c>
      <c r="AQ89" s="1" t="str">
        <f t="shared" si="103"/>
        <v/>
      </c>
      <c r="AR89" s="1" t="str">
        <f t="shared" si="104"/>
        <v/>
      </c>
      <c r="AS89" s="1" t="str">
        <f t="shared" si="105"/>
        <v/>
      </c>
      <c r="AT89" s="1">
        <f t="shared" si="106"/>
        <v>116.99911</v>
      </c>
      <c r="AU89" s="1" t="str">
        <f t="shared" si="107"/>
        <v/>
      </c>
    </row>
    <row r="90" spans="1:47" ht="19" customHeight="1" x14ac:dyDescent="0.3">
      <c r="A90" s="57" t="s">
        <v>66</v>
      </c>
      <c r="B90" s="57"/>
      <c r="C90" s="57"/>
      <c r="D90" s="89">
        <f>IF(路线!B4="计算",持有情况!AM40,持有情况!AJ40)-ROW()*0.00001</f>
        <v>168.9991</v>
      </c>
      <c r="E90" s="89">
        <v>2</v>
      </c>
      <c r="F90" s="90">
        <v>0</v>
      </c>
      <c r="G90" s="89">
        <v>1</v>
      </c>
      <c r="H90" s="90">
        <v>0</v>
      </c>
      <c r="I90" s="1"/>
      <c r="J90" s="89">
        <f>IF(路线!B4="计算",INT(45+17*路线!B32+30+持有情况!AM39),INT(45+17*路线!B32+30))-ROW()*0.00001</f>
        <v>168.9991</v>
      </c>
      <c r="L90" s="1" t="str">
        <f t="shared" si="72"/>
        <v/>
      </c>
      <c r="M90" s="1">
        <f t="shared" si="73"/>
        <v>168.9991</v>
      </c>
      <c r="N90" s="1" t="str">
        <f t="shared" si="74"/>
        <v/>
      </c>
      <c r="O90" s="1" t="str">
        <f t="shared" si="75"/>
        <v/>
      </c>
      <c r="P90" s="1" t="str">
        <f t="shared" si="76"/>
        <v/>
      </c>
      <c r="Q90" s="1" t="str">
        <f t="shared" si="77"/>
        <v/>
      </c>
      <c r="R90" s="1" t="str">
        <f t="shared" si="78"/>
        <v/>
      </c>
      <c r="S90" s="1" t="str">
        <f t="shared" si="79"/>
        <v/>
      </c>
      <c r="T90" s="1" t="str">
        <f t="shared" si="80"/>
        <v/>
      </c>
      <c r="U90" s="1" t="str">
        <f t="shared" si="81"/>
        <v/>
      </c>
      <c r="V90" s="1" t="str">
        <f t="shared" si="82"/>
        <v/>
      </c>
      <c r="W90" s="1" t="str">
        <f t="shared" si="83"/>
        <v/>
      </c>
      <c r="X90" s="1" t="str">
        <f t="shared" si="84"/>
        <v/>
      </c>
      <c r="Y90" s="1" t="str">
        <f t="shared" si="85"/>
        <v/>
      </c>
      <c r="Z90" s="1" t="str">
        <f t="shared" si="86"/>
        <v/>
      </c>
      <c r="AA90" s="1" t="str">
        <f t="shared" si="87"/>
        <v/>
      </c>
      <c r="AB90" s="1" t="str">
        <f t="shared" si="88"/>
        <v/>
      </c>
      <c r="AC90" s="1" t="str">
        <f t="shared" si="89"/>
        <v/>
      </c>
      <c r="AD90" s="1" t="str">
        <f t="shared" si="90"/>
        <v/>
      </c>
      <c r="AE90" s="1" t="str">
        <f t="shared" si="91"/>
        <v/>
      </c>
      <c r="AF90" s="1" t="str">
        <f t="shared" si="92"/>
        <v/>
      </c>
      <c r="AG90" s="1" t="str">
        <f t="shared" si="93"/>
        <v/>
      </c>
      <c r="AH90" s="1" t="str">
        <f t="shared" si="94"/>
        <v/>
      </c>
      <c r="AI90" s="1" t="str">
        <f t="shared" si="95"/>
        <v/>
      </c>
      <c r="AJ90" s="1">
        <f t="shared" si="96"/>
        <v>168.9991</v>
      </c>
      <c r="AK90" s="1" t="str">
        <f t="shared" si="97"/>
        <v/>
      </c>
      <c r="AL90" s="1" t="str">
        <f t="shared" si="98"/>
        <v/>
      </c>
      <c r="AM90" s="1" t="str">
        <f t="shared" si="99"/>
        <v/>
      </c>
      <c r="AN90" s="1" t="str">
        <f t="shared" si="100"/>
        <v/>
      </c>
      <c r="AO90" s="1" t="str">
        <f t="shared" si="101"/>
        <v/>
      </c>
      <c r="AP90" s="1" t="str">
        <f t="shared" si="102"/>
        <v/>
      </c>
      <c r="AQ90" s="1" t="str">
        <f t="shared" si="103"/>
        <v/>
      </c>
      <c r="AR90" s="1" t="str">
        <f t="shared" si="104"/>
        <v/>
      </c>
      <c r="AS90" s="1" t="str">
        <f t="shared" si="105"/>
        <v/>
      </c>
      <c r="AT90" s="1" t="str">
        <f t="shared" si="106"/>
        <v/>
      </c>
      <c r="AU90" s="1" t="str">
        <f t="shared" si="107"/>
        <v/>
      </c>
    </row>
    <row r="91" spans="1:47" ht="19" customHeight="1" x14ac:dyDescent="0.3">
      <c r="A91" s="57" t="s">
        <v>85</v>
      </c>
      <c r="B91" s="57"/>
      <c r="C91" s="57"/>
      <c r="D91" s="89">
        <f>持有情况!F58-ROW()*0.00001</f>
        <v>131.99909</v>
      </c>
      <c r="E91" s="90">
        <v>0</v>
      </c>
      <c r="F91" s="89">
        <v>1</v>
      </c>
      <c r="G91" s="89">
        <v>1</v>
      </c>
      <c r="H91" s="89">
        <v>1</v>
      </c>
      <c r="I91" s="84" t="s">
        <v>335</v>
      </c>
      <c r="J91" s="89">
        <f>INT(60+8*路线!B33+40)-ROW()*0.00001</f>
        <v>131.99909</v>
      </c>
      <c r="L91" s="1">
        <f t="shared" si="72"/>
        <v>131.99909</v>
      </c>
      <c r="M91" s="1">
        <f t="shared" si="73"/>
        <v>131.99909</v>
      </c>
      <c r="N91" s="1">
        <f t="shared" si="74"/>
        <v>131.99909</v>
      </c>
      <c r="O91" s="1" t="str">
        <f t="shared" si="75"/>
        <v/>
      </c>
      <c r="P91" s="1" t="str">
        <f t="shared" si="76"/>
        <v/>
      </c>
      <c r="Q91" s="1" t="str">
        <f t="shared" si="77"/>
        <v/>
      </c>
      <c r="R91" s="1" t="str">
        <f t="shared" si="78"/>
        <v/>
      </c>
      <c r="S91" s="1" t="str">
        <f t="shared" si="79"/>
        <v/>
      </c>
      <c r="T91" s="1" t="str">
        <f t="shared" si="80"/>
        <v/>
      </c>
      <c r="U91" s="1">
        <f t="shared" si="81"/>
        <v>131.99909</v>
      </c>
      <c r="V91" s="1" t="str">
        <f t="shared" si="82"/>
        <v/>
      </c>
      <c r="W91" s="1" t="str">
        <f t="shared" si="83"/>
        <v/>
      </c>
      <c r="X91" s="1">
        <f t="shared" si="84"/>
        <v>131.99909</v>
      </c>
      <c r="Y91" s="1" t="str">
        <f t="shared" si="85"/>
        <v/>
      </c>
      <c r="Z91" s="1" t="str">
        <f t="shared" si="86"/>
        <v/>
      </c>
      <c r="AA91" s="1">
        <f t="shared" si="87"/>
        <v>131.99909</v>
      </c>
      <c r="AB91" s="1" t="str">
        <f t="shared" si="88"/>
        <v/>
      </c>
      <c r="AC91" s="1" t="str">
        <f t="shared" si="89"/>
        <v/>
      </c>
      <c r="AD91" s="1" t="str">
        <f t="shared" si="90"/>
        <v/>
      </c>
      <c r="AE91" s="1" t="str">
        <f t="shared" si="91"/>
        <v/>
      </c>
      <c r="AF91" s="1" t="str">
        <f t="shared" si="92"/>
        <v/>
      </c>
      <c r="AG91" s="1">
        <f t="shared" si="93"/>
        <v>131.99909</v>
      </c>
      <c r="AH91" s="1" t="str">
        <f t="shared" si="94"/>
        <v/>
      </c>
      <c r="AI91" s="1" t="str">
        <f t="shared" si="95"/>
        <v/>
      </c>
      <c r="AJ91" s="1" t="str">
        <f t="shared" si="96"/>
        <v/>
      </c>
      <c r="AK91" s="1" t="str">
        <f t="shared" si="97"/>
        <v/>
      </c>
      <c r="AL91" s="1" t="str">
        <f t="shared" si="98"/>
        <v/>
      </c>
      <c r="AM91" s="1">
        <f t="shared" si="99"/>
        <v>131.99909</v>
      </c>
      <c r="AN91" s="1" t="str">
        <f t="shared" si="100"/>
        <v/>
      </c>
      <c r="AO91" s="1" t="str">
        <f t="shared" si="101"/>
        <v/>
      </c>
      <c r="AP91" s="1" t="str">
        <f t="shared" si="102"/>
        <v/>
      </c>
      <c r="AQ91" s="1" t="str">
        <f t="shared" si="103"/>
        <v/>
      </c>
      <c r="AR91" s="1" t="str">
        <f t="shared" si="104"/>
        <v/>
      </c>
      <c r="AS91" s="1">
        <f t="shared" si="105"/>
        <v>131.99909</v>
      </c>
      <c r="AT91" s="1" t="str">
        <f t="shared" si="106"/>
        <v/>
      </c>
      <c r="AU91" s="1" t="str">
        <f t="shared" si="107"/>
        <v/>
      </c>
    </row>
    <row r="92" spans="1:47" ht="19" customHeight="1" x14ac:dyDescent="0.3">
      <c r="A92" s="57" t="s">
        <v>44</v>
      </c>
      <c r="B92" s="57"/>
      <c r="C92" s="57"/>
      <c r="D92" s="89">
        <f>持有情况!AJ22-ROW()*0.00001</f>
        <v>155.99907999999999</v>
      </c>
      <c r="E92" s="90">
        <v>0</v>
      </c>
      <c r="F92" s="90">
        <v>0</v>
      </c>
      <c r="G92" s="89">
        <v>1</v>
      </c>
      <c r="H92" s="89">
        <v>1</v>
      </c>
      <c r="I92" s="1"/>
      <c r="J92" s="89">
        <f>IF(路线!C6="计算",INT((6.4/100)*路线!B11+11*路线!B34+4*路线!B14+30+20)-ROW()*0.00001,INT((6.4/100)*路线!B11+11*路线!B34+4*路线!B14+30)-ROW()*0.00001)</f>
        <v>155.99907999999999</v>
      </c>
      <c r="L92" s="1">
        <f t="shared" si="72"/>
        <v>155.99907999999999</v>
      </c>
      <c r="M92" s="1">
        <f t="shared" si="73"/>
        <v>155.99907999999999</v>
      </c>
      <c r="N92" s="1">
        <f t="shared" si="74"/>
        <v>155.99907999999999</v>
      </c>
      <c r="O92" s="1" t="str">
        <f t="shared" si="75"/>
        <v/>
      </c>
      <c r="P92" s="1" t="str">
        <f t="shared" si="76"/>
        <v/>
      </c>
      <c r="Q92" s="1" t="str">
        <f t="shared" si="77"/>
        <v/>
      </c>
      <c r="R92" s="1" t="str">
        <f t="shared" si="78"/>
        <v/>
      </c>
      <c r="S92" s="1" t="str">
        <f t="shared" si="79"/>
        <v/>
      </c>
      <c r="T92" s="1" t="str">
        <f t="shared" si="80"/>
        <v/>
      </c>
      <c r="U92" s="1" t="str">
        <f t="shared" si="81"/>
        <v/>
      </c>
      <c r="V92" s="1" t="str">
        <f t="shared" si="82"/>
        <v/>
      </c>
      <c r="W92" s="1" t="str">
        <f t="shared" si="83"/>
        <v/>
      </c>
      <c r="X92" s="1" t="str">
        <f t="shared" si="84"/>
        <v/>
      </c>
      <c r="Y92" s="1" t="str">
        <f t="shared" si="85"/>
        <v/>
      </c>
      <c r="Z92" s="1" t="str">
        <f t="shared" si="86"/>
        <v/>
      </c>
      <c r="AA92" s="1" t="str">
        <f t="shared" si="87"/>
        <v/>
      </c>
      <c r="AB92" s="1" t="str">
        <f t="shared" si="88"/>
        <v/>
      </c>
      <c r="AC92" s="1" t="str">
        <f t="shared" si="89"/>
        <v/>
      </c>
      <c r="AD92" s="1">
        <f t="shared" si="90"/>
        <v>155.99907999999999</v>
      </c>
      <c r="AE92" s="1" t="str">
        <f t="shared" si="91"/>
        <v/>
      </c>
      <c r="AF92" s="1" t="str">
        <f t="shared" si="92"/>
        <v/>
      </c>
      <c r="AG92" s="1" t="str">
        <f t="shared" si="93"/>
        <v/>
      </c>
      <c r="AH92" s="1" t="str">
        <f t="shared" si="94"/>
        <v/>
      </c>
      <c r="AI92" s="1" t="str">
        <f t="shared" si="95"/>
        <v/>
      </c>
      <c r="AJ92" s="1">
        <f t="shared" si="96"/>
        <v>155.99907999999999</v>
      </c>
      <c r="AK92" s="1" t="str">
        <f t="shared" si="97"/>
        <v/>
      </c>
      <c r="AL92" s="1" t="str">
        <f t="shared" si="98"/>
        <v/>
      </c>
      <c r="AM92" s="1" t="str">
        <f t="shared" si="99"/>
        <v/>
      </c>
      <c r="AN92" s="1" t="str">
        <f t="shared" si="100"/>
        <v/>
      </c>
      <c r="AO92" s="1" t="str">
        <f t="shared" si="101"/>
        <v/>
      </c>
      <c r="AP92" s="1">
        <f t="shared" si="102"/>
        <v>155.99907999999999</v>
      </c>
      <c r="AQ92" s="1" t="str">
        <f t="shared" si="103"/>
        <v/>
      </c>
      <c r="AR92" s="1" t="str">
        <f t="shared" si="104"/>
        <v/>
      </c>
      <c r="AS92" s="1" t="str">
        <f t="shared" si="105"/>
        <v/>
      </c>
      <c r="AT92" s="1" t="str">
        <f t="shared" si="106"/>
        <v/>
      </c>
      <c r="AU92" s="1" t="str">
        <f t="shared" si="107"/>
        <v/>
      </c>
    </row>
    <row r="93" spans="1:47" ht="19" customHeight="1" x14ac:dyDescent="0.3">
      <c r="A93" s="75" t="s">
        <v>45</v>
      </c>
      <c r="B93" s="75"/>
      <c r="C93" s="75"/>
      <c r="D93" s="89">
        <f>持有情况!AT22-ROW()*0.00001</f>
        <v>155.99906999999999</v>
      </c>
      <c r="E93" s="90">
        <v>0</v>
      </c>
      <c r="F93" s="90">
        <v>0</v>
      </c>
      <c r="G93" s="89">
        <v>2</v>
      </c>
      <c r="H93" s="89">
        <v>1</v>
      </c>
      <c r="I93" s="1"/>
      <c r="J93" s="89">
        <f>IF(路线!C6="计算",INT((6.4/100)*路线!B11+11*路线!B33+4*路线!B14+30+20)-ROW()*0.00001,INT((6.4/100)*路线!B11+11*路线!B33+4*路线!B14+30)-ROW()*0.00001)</f>
        <v>166.99906999999999</v>
      </c>
      <c r="L93" s="1" t="str">
        <f t="shared" si="72"/>
        <v/>
      </c>
      <c r="M93" s="1" t="str">
        <f t="shared" si="73"/>
        <v/>
      </c>
      <c r="N93" s="1" t="str">
        <f t="shared" si="74"/>
        <v/>
      </c>
      <c r="O93" s="1">
        <f t="shared" si="75"/>
        <v>155.99906999999999</v>
      </c>
      <c r="P93" s="1">
        <f t="shared" si="76"/>
        <v>155.99906999999999</v>
      </c>
      <c r="Q93" s="1">
        <f t="shared" si="77"/>
        <v>155.99906999999999</v>
      </c>
      <c r="R93" s="1" t="str">
        <f t="shared" si="78"/>
        <v/>
      </c>
      <c r="S93" s="1" t="str">
        <f t="shared" si="79"/>
        <v/>
      </c>
      <c r="T93" s="1" t="str">
        <f t="shared" si="80"/>
        <v/>
      </c>
      <c r="U93" s="1" t="str">
        <f t="shared" si="81"/>
        <v/>
      </c>
      <c r="V93" s="1" t="str">
        <f t="shared" si="82"/>
        <v/>
      </c>
      <c r="W93" s="1" t="str">
        <f t="shared" si="83"/>
        <v/>
      </c>
      <c r="X93" s="1" t="str">
        <f t="shared" si="84"/>
        <v/>
      </c>
      <c r="Y93" s="1" t="str">
        <f t="shared" si="85"/>
        <v/>
      </c>
      <c r="Z93" s="1" t="str">
        <f t="shared" si="86"/>
        <v/>
      </c>
      <c r="AA93" s="1" t="str">
        <f t="shared" si="87"/>
        <v/>
      </c>
      <c r="AB93" s="1" t="str">
        <f t="shared" si="88"/>
        <v/>
      </c>
      <c r="AC93" s="1" t="str">
        <f t="shared" si="89"/>
        <v/>
      </c>
      <c r="AD93" s="1" t="str">
        <f t="shared" si="90"/>
        <v/>
      </c>
      <c r="AE93" s="1">
        <f t="shared" si="91"/>
        <v>166.99906999999999</v>
      </c>
      <c r="AF93" s="1" t="str">
        <f t="shared" si="92"/>
        <v/>
      </c>
      <c r="AG93" s="1" t="str">
        <f t="shared" si="93"/>
        <v/>
      </c>
      <c r="AH93" s="1" t="str">
        <f t="shared" si="94"/>
        <v/>
      </c>
      <c r="AI93" s="1" t="str">
        <f t="shared" si="95"/>
        <v/>
      </c>
      <c r="AJ93" s="1" t="str">
        <f t="shared" si="96"/>
        <v/>
      </c>
      <c r="AK93" s="1">
        <f t="shared" si="97"/>
        <v>166.99906999999999</v>
      </c>
      <c r="AL93" s="1" t="str">
        <f t="shared" si="98"/>
        <v/>
      </c>
      <c r="AM93" s="1" t="str">
        <f t="shared" si="99"/>
        <v/>
      </c>
      <c r="AN93" s="1" t="str">
        <f t="shared" si="100"/>
        <v/>
      </c>
      <c r="AO93" s="1" t="str">
        <f t="shared" si="101"/>
        <v/>
      </c>
      <c r="AP93" s="1" t="str">
        <f t="shared" si="102"/>
        <v/>
      </c>
      <c r="AQ93" s="1">
        <f t="shared" si="103"/>
        <v>166.99906999999999</v>
      </c>
      <c r="AR93" s="1" t="str">
        <f t="shared" si="104"/>
        <v/>
      </c>
      <c r="AS93" s="1" t="str">
        <f t="shared" si="105"/>
        <v/>
      </c>
      <c r="AT93" s="1" t="str">
        <f t="shared" si="106"/>
        <v/>
      </c>
      <c r="AU93" s="1" t="str">
        <f t="shared" si="107"/>
        <v/>
      </c>
    </row>
    <row r="94" spans="1:47" ht="19" customHeight="1" x14ac:dyDescent="0.3">
      <c r="A94" s="57" t="s">
        <v>81</v>
      </c>
      <c r="B94" s="57"/>
      <c r="C94" s="57"/>
      <c r="D94" s="89">
        <f>持有情况!AJ52-ROW()*0.00001</f>
        <v>106.99906</v>
      </c>
      <c r="E94" s="89">
        <v>2</v>
      </c>
      <c r="F94" s="90">
        <v>0</v>
      </c>
      <c r="G94" s="89">
        <v>1</v>
      </c>
      <c r="H94" s="90">
        <v>0</v>
      </c>
      <c r="I94" s="1"/>
      <c r="J94" s="89">
        <f>INT(45+8*路线!B39+4*路线!B14+30)-ROW()*0.00001</f>
        <v>106.99906</v>
      </c>
      <c r="L94" s="1" t="str">
        <f t="shared" si="72"/>
        <v/>
      </c>
      <c r="M94" s="1">
        <f t="shared" si="73"/>
        <v>106.99906</v>
      </c>
      <c r="N94" s="1" t="str">
        <f t="shared" si="74"/>
        <v/>
      </c>
      <c r="O94" s="1" t="str">
        <f t="shared" si="75"/>
        <v/>
      </c>
      <c r="P94" s="1" t="str">
        <f t="shared" si="76"/>
        <v/>
      </c>
      <c r="Q94" s="1" t="str">
        <f t="shared" si="77"/>
        <v/>
      </c>
      <c r="R94" s="1" t="str">
        <f t="shared" si="78"/>
        <v/>
      </c>
      <c r="S94" s="1" t="str">
        <f t="shared" si="79"/>
        <v/>
      </c>
      <c r="T94" s="1" t="str">
        <f t="shared" si="80"/>
        <v/>
      </c>
      <c r="U94" s="1" t="str">
        <f t="shared" si="81"/>
        <v/>
      </c>
      <c r="V94" s="1" t="str">
        <f t="shared" si="82"/>
        <v/>
      </c>
      <c r="W94" s="1" t="str">
        <f t="shared" si="83"/>
        <v/>
      </c>
      <c r="X94" s="1" t="str">
        <f t="shared" si="84"/>
        <v/>
      </c>
      <c r="Y94" s="1" t="str">
        <f t="shared" si="85"/>
        <v/>
      </c>
      <c r="Z94" s="1" t="str">
        <f t="shared" si="86"/>
        <v/>
      </c>
      <c r="AA94" s="1" t="str">
        <f t="shared" si="87"/>
        <v/>
      </c>
      <c r="AB94" s="1" t="str">
        <f t="shared" si="88"/>
        <v/>
      </c>
      <c r="AC94" s="1" t="str">
        <f t="shared" si="89"/>
        <v/>
      </c>
      <c r="AD94" s="1" t="str">
        <f t="shared" si="90"/>
        <v/>
      </c>
      <c r="AE94" s="1" t="str">
        <f t="shared" si="91"/>
        <v/>
      </c>
      <c r="AF94" s="1" t="str">
        <f t="shared" si="92"/>
        <v/>
      </c>
      <c r="AG94" s="1" t="str">
        <f t="shared" si="93"/>
        <v/>
      </c>
      <c r="AH94" s="1" t="str">
        <f t="shared" si="94"/>
        <v/>
      </c>
      <c r="AI94" s="1" t="str">
        <f t="shared" si="95"/>
        <v/>
      </c>
      <c r="AJ94" s="1">
        <f t="shared" si="96"/>
        <v>106.99906</v>
      </c>
      <c r="AK94" s="1" t="str">
        <f t="shared" si="97"/>
        <v/>
      </c>
      <c r="AL94" s="1" t="str">
        <f t="shared" si="98"/>
        <v/>
      </c>
      <c r="AM94" s="1" t="str">
        <f t="shared" si="99"/>
        <v/>
      </c>
      <c r="AN94" s="1" t="str">
        <f t="shared" si="100"/>
        <v/>
      </c>
      <c r="AO94" s="1" t="str">
        <f t="shared" si="101"/>
        <v/>
      </c>
      <c r="AP94" s="1" t="str">
        <f t="shared" si="102"/>
        <v/>
      </c>
      <c r="AQ94" s="1" t="str">
        <f t="shared" si="103"/>
        <v/>
      </c>
      <c r="AR94" s="1" t="str">
        <f t="shared" si="104"/>
        <v/>
      </c>
      <c r="AS94" s="1" t="str">
        <f t="shared" si="105"/>
        <v/>
      </c>
      <c r="AT94" s="1" t="str">
        <f t="shared" si="106"/>
        <v/>
      </c>
      <c r="AU94" s="1" t="str">
        <f t="shared" si="107"/>
        <v/>
      </c>
    </row>
    <row r="95" spans="1:47" ht="19" customHeight="1" x14ac:dyDescent="0.3">
      <c r="A95" s="57" t="s">
        <v>94</v>
      </c>
      <c r="B95" s="57"/>
      <c r="C95" s="57"/>
      <c r="D95" s="89">
        <f>持有情况!AJ64-ROW()*0.00001</f>
        <v>118.99905</v>
      </c>
      <c r="E95" s="90">
        <v>0</v>
      </c>
      <c r="F95" s="89">
        <v>1</v>
      </c>
      <c r="G95" s="89">
        <v>1</v>
      </c>
      <c r="H95" s="90">
        <v>0</v>
      </c>
      <c r="I95" s="1"/>
      <c r="J95" s="89">
        <f>INT(45+2*(路线!B23+路线!B24)+30)-ROW()*0.00001</f>
        <v>118.99905</v>
      </c>
      <c r="L95" s="1">
        <f t="shared" si="72"/>
        <v>118.99905</v>
      </c>
      <c r="M95" s="1">
        <f t="shared" si="73"/>
        <v>118.99905</v>
      </c>
      <c r="N95" s="1">
        <f t="shared" si="74"/>
        <v>118.99905</v>
      </c>
      <c r="O95" s="1" t="str">
        <f t="shared" si="75"/>
        <v/>
      </c>
      <c r="P95" s="1" t="str">
        <f t="shared" si="76"/>
        <v/>
      </c>
      <c r="Q95" s="1" t="str">
        <f t="shared" si="77"/>
        <v/>
      </c>
      <c r="R95" s="1" t="str">
        <f t="shared" si="78"/>
        <v/>
      </c>
      <c r="S95" s="1" t="str">
        <f t="shared" si="79"/>
        <v/>
      </c>
      <c r="T95" s="1" t="str">
        <f t="shared" si="80"/>
        <v/>
      </c>
      <c r="U95" s="1">
        <f t="shared" si="81"/>
        <v>118.99905</v>
      </c>
      <c r="V95" s="1" t="str">
        <f t="shared" si="82"/>
        <v/>
      </c>
      <c r="W95" s="1" t="str">
        <f t="shared" si="83"/>
        <v/>
      </c>
      <c r="X95" s="1">
        <f t="shared" si="84"/>
        <v>118.99905</v>
      </c>
      <c r="Y95" s="1" t="str">
        <f t="shared" si="85"/>
        <v/>
      </c>
      <c r="Z95" s="1" t="str">
        <f t="shared" si="86"/>
        <v/>
      </c>
      <c r="AA95" s="1">
        <f t="shared" si="87"/>
        <v>118.99905</v>
      </c>
      <c r="AB95" s="1" t="str">
        <f t="shared" si="88"/>
        <v/>
      </c>
      <c r="AC95" s="1" t="str">
        <f t="shared" si="89"/>
        <v/>
      </c>
      <c r="AD95" s="1" t="str">
        <f t="shared" si="90"/>
        <v/>
      </c>
      <c r="AE95" s="1" t="str">
        <f t="shared" si="91"/>
        <v/>
      </c>
      <c r="AF95" s="1" t="str">
        <f t="shared" si="92"/>
        <v/>
      </c>
      <c r="AG95" s="1">
        <f t="shared" si="93"/>
        <v>118.99905</v>
      </c>
      <c r="AH95" s="1" t="str">
        <f t="shared" si="94"/>
        <v/>
      </c>
      <c r="AI95" s="1" t="str">
        <f t="shared" si="95"/>
        <v/>
      </c>
      <c r="AJ95" s="1" t="str">
        <f t="shared" si="96"/>
        <v/>
      </c>
      <c r="AK95" s="1" t="str">
        <f t="shared" si="97"/>
        <v/>
      </c>
      <c r="AL95" s="1" t="str">
        <f t="shared" si="98"/>
        <v/>
      </c>
      <c r="AM95" s="1">
        <f t="shared" si="99"/>
        <v>118.99905</v>
      </c>
      <c r="AN95" s="1" t="str">
        <f t="shared" si="100"/>
        <v/>
      </c>
      <c r="AO95" s="1" t="str">
        <f t="shared" si="101"/>
        <v/>
      </c>
      <c r="AP95" s="1" t="str">
        <f t="shared" si="102"/>
        <v/>
      </c>
      <c r="AQ95" s="1" t="str">
        <f t="shared" si="103"/>
        <v/>
      </c>
      <c r="AR95" s="1" t="str">
        <f t="shared" si="104"/>
        <v/>
      </c>
      <c r="AS95" s="1">
        <f t="shared" si="105"/>
        <v>118.99905</v>
      </c>
      <c r="AT95" s="1" t="str">
        <f t="shared" si="106"/>
        <v/>
      </c>
      <c r="AU95" s="1" t="str">
        <f t="shared" si="107"/>
        <v/>
      </c>
    </row>
    <row r="96" spans="1:47" ht="19" customHeight="1" x14ac:dyDescent="0.3">
      <c r="A96" s="75" t="s">
        <v>75</v>
      </c>
      <c r="B96" s="75"/>
      <c r="C96" s="75"/>
      <c r="D96" s="89">
        <f>持有情况!AT46-ROW()*0.00001</f>
        <v>106.99903999999999</v>
      </c>
      <c r="E96" s="89">
        <v>1</v>
      </c>
      <c r="F96" s="90">
        <v>0</v>
      </c>
      <c r="G96" s="89">
        <v>2</v>
      </c>
      <c r="H96" s="90">
        <v>0</v>
      </c>
      <c r="I96" s="1"/>
      <c r="J96" s="89">
        <f>INT(45+8*路线!B39+4*路线!B14+30)-ROW()*0.00001</f>
        <v>106.99903999999999</v>
      </c>
      <c r="L96" s="1" t="str">
        <f t="shared" si="72"/>
        <v/>
      </c>
      <c r="M96" s="1" t="str">
        <f t="shared" si="73"/>
        <v/>
      </c>
      <c r="N96" s="1" t="str">
        <f t="shared" si="74"/>
        <v/>
      </c>
      <c r="O96" s="1">
        <f t="shared" si="75"/>
        <v>106.99903999999999</v>
      </c>
      <c r="P96" s="1" t="str">
        <f t="shared" si="76"/>
        <v/>
      </c>
      <c r="Q96" s="1" t="str">
        <f t="shared" si="77"/>
        <v/>
      </c>
      <c r="R96" s="1" t="str">
        <f t="shared" si="78"/>
        <v/>
      </c>
      <c r="S96" s="1" t="str">
        <f t="shared" si="79"/>
        <v/>
      </c>
      <c r="T96" s="1" t="str">
        <f t="shared" si="80"/>
        <v/>
      </c>
      <c r="U96" s="1" t="str">
        <f t="shared" si="81"/>
        <v/>
      </c>
      <c r="V96" s="1" t="str">
        <f t="shared" si="82"/>
        <v/>
      </c>
      <c r="W96" s="1" t="str">
        <f t="shared" si="83"/>
        <v/>
      </c>
      <c r="X96" s="1" t="str">
        <f t="shared" si="84"/>
        <v/>
      </c>
      <c r="Y96" s="1" t="str">
        <f t="shared" si="85"/>
        <v/>
      </c>
      <c r="Z96" s="1" t="str">
        <f t="shared" si="86"/>
        <v/>
      </c>
      <c r="AA96" s="1" t="str">
        <f t="shared" si="87"/>
        <v/>
      </c>
      <c r="AB96" s="1" t="str">
        <f t="shared" si="88"/>
        <v/>
      </c>
      <c r="AC96" s="1" t="str">
        <f t="shared" si="89"/>
        <v/>
      </c>
      <c r="AD96" s="1" t="str">
        <f t="shared" si="90"/>
        <v/>
      </c>
      <c r="AE96" s="1">
        <f t="shared" si="91"/>
        <v>106.99903999999999</v>
      </c>
      <c r="AF96" s="1" t="str">
        <f t="shared" si="92"/>
        <v/>
      </c>
      <c r="AG96" s="1" t="str">
        <f t="shared" si="93"/>
        <v/>
      </c>
      <c r="AH96" s="1" t="str">
        <f t="shared" si="94"/>
        <v/>
      </c>
      <c r="AI96" s="1" t="str">
        <f t="shared" si="95"/>
        <v/>
      </c>
      <c r="AJ96" s="1" t="str">
        <f t="shared" si="96"/>
        <v/>
      </c>
      <c r="AK96" s="1" t="str">
        <f t="shared" si="97"/>
        <v/>
      </c>
      <c r="AL96" s="1" t="str">
        <f t="shared" si="98"/>
        <v/>
      </c>
      <c r="AM96" s="1" t="str">
        <f t="shared" si="99"/>
        <v/>
      </c>
      <c r="AN96" s="1" t="str">
        <f t="shared" si="100"/>
        <v/>
      </c>
      <c r="AO96" s="1" t="str">
        <f t="shared" si="101"/>
        <v/>
      </c>
      <c r="AP96" s="1" t="str">
        <f t="shared" si="102"/>
        <v/>
      </c>
      <c r="AQ96" s="1" t="str">
        <f t="shared" si="103"/>
        <v/>
      </c>
      <c r="AR96" s="1" t="str">
        <f t="shared" si="104"/>
        <v/>
      </c>
      <c r="AS96" s="1" t="str">
        <f t="shared" si="105"/>
        <v/>
      </c>
      <c r="AT96" s="1" t="str">
        <f t="shared" si="106"/>
        <v/>
      </c>
      <c r="AU96" s="1" t="str">
        <f t="shared" si="107"/>
        <v/>
      </c>
    </row>
    <row r="97" spans="1:47" ht="19" customHeight="1" x14ac:dyDescent="0.3">
      <c r="A97" s="75" t="s">
        <v>52</v>
      </c>
      <c r="B97" s="75"/>
      <c r="C97" s="75"/>
      <c r="D97" s="89">
        <f>持有情况!AT28-ROW()*0.00001</f>
        <v>144.99903</v>
      </c>
      <c r="E97" s="89">
        <v>1</v>
      </c>
      <c r="F97" s="90">
        <v>0</v>
      </c>
      <c r="G97" s="89">
        <v>2</v>
      </c>
      <c r="H97" s="89">
        <v>1</v>
      </c>
      <c r="I97" s="84" t="s">
        <v>336</v>
      </c>
      <c r="J97" s="89">
        <f>IF(路线!C6="计算",INT(45+17*路线!B32+4*路线!B14+30+20)-ROW()*0.00001,INT(45+17*路线!B32+4*路线!B14+30)-ROW()*0.00001)</f>
        <v>144.99903</v>
      </c>
      <c r="L97" s="1" t="str">
        <f t="shared" si="72"/>
        <v/>
      </c>
      <c r="M97" s="1" t="str">
        <f t="shared" si="73"/>
        <v/>
      </c>
      <c r="N97" s="1" t="str">
        <f t="shared" si="74"/>
        <v/>
      </c>
      <c r="O97" s="1">
        <f t="shared" si="75"/>
        <v>144.99903</v>
      </c>
      <c r="P97" s="1" t="str">
        <f t="shared" si="76"/>
        <v/>
      </c>
      <c r="Q97" s="1" t="str">
        <f t="shared" si="77"/>
        <v/>
      </c>
      <c r="R97" s="1" t="str">
        <f t="shared" si="78"/>
        <v/>
      </c>
      <c r="S97" s="1" t="str">
        <f t="shared" si="79"/>
        <v/>
      </c>
      <c r="T97" s="1" t="str">
        <f t="shared" si="80"/>
        <v/>
      </c>
      <c r="U97" s="1" t="str">
        <f t="shared" si="81"/>
        <v/>
      </c>
      <c r="V97" s="1" t="str">
        <f t="shared" si="82"/>
        <v/>
      </c>
      <c r="W97" s="1" t="str">
        <f t="shared" si="83"/>
        <v/>
      </c>
      <c r="X97" s="1" t="str">
        <f t="shared" si="84"/>
        <v/>
      </c>
      <c r="Y97" s="1" t="str">
        <f t="shared" si="85"/>
        <v/>
      </c>
      <c r="Z97" s="1" t="str">
        <f t="shared" si="86"/>
        <v/>
      </c>
      <c r="AA97" s="1" t="str">
        <f t="shared" si="87"/>
        <v/>
      </c>
      <c r="AB97" s="1" t="str">
        <f t="shared" si="88"/>
        <v/>
      </c>
      <c r="AC97" s="1" t="str">
        <f t="shared" si="89"/>
        <v/>
      </c>
      <c r="AD97" s="1" t="str">
        <f t="shared" si="90"/>
        <v/>
      </c>
      <c r="AE97" s="1">
        <f t="shared" si="91"/>
        <v>144.99903</v>
      </c>
      <c r="AF97" s="1" t="str">
        <f t="shared" si="92"/>
        <v/>
      </c>
      <c r="AG97" s="1" t="str">
        <f t="shared" si="93"/>
        <v/>
      </c>
      <c r="AH97" s="1" t="str">
        <f t="shared" si="94"/>
        <v/>
      </c>
      <c r="AI97" s="1" t="str">
        <f t="shared" si="95"/>
        <v/>
      </c>
      <c r="AJ97" s="1" t="str">
        <f t="shared" si="96"/>
        <v/>
      </c>
      <c r="AK97" s="1" t="str">
        <f t="shared" si="97"/>
        <v/>
      </c>
      <c r="AL97" s="1" t="str">
        <f t="shared" si="98"/>
        <v/>
      </c>
      <c r="AM97" s="1" t="str">
        <f t="shared" si="99"/>
        <v/>
      </c>
      <c r="AN97" s="1" t="str">
        <f t="shared" si="100"/>
        <v/>
      </c>
      <c r="AO97" s="1" t="str">
        <f t="shared" si="101"/>
        <v/>
      </c>
      <c r="AP97" s="1" t="str">
        <f t="shared" si="102"/>
        <v/>
      </c>
      <c r="AQ97" s="1" t="str">
        <f t="shared" si="103"/>
        <v/>
      </c>
      <c r="AR97" s="1" t="str">
        <f t="shared" si="104"/>
        <v/>
      </c>
      <c r="AS97" s="1" t="str">
        <f t="shared" si="105"/>
        <v/>
      </c>
      <c r="AT97" s="1" t="str">
        <f t="shared" si="106"/>
        <v/>
      </c>
      <c r="AU97" s="1" t="str">
        <f t="shared" si="107"/>
        <v/>
      </c>
    </row>
    <row r="98" spans="1:47" ht="19" customHeight="1" x14ac:dyDescent="0.3">
      <c r="A98" s="67" t="s">
        <v>46</v>
      </c>
      <c r="B98" s="67"/>
      <c r="C98" s="67"/>
      <c r="D98" s="89">
        <f>持有情况!BD22-ROW()*0.00001</f>
        <v>143.99902</v>
      </c>
      <c r="E98" s="90">
        <v>0</v>
      </c>
      <c r="F98" s="90">
        <v>0</v>
      </c>
      <c r="G98" s="89">
        <v>3</v>
      </c>
      <c r="H98" s="89">
        <v>1</v>
      </c>
      <c r="I98" s="1"/>
      <c r="J98" s="89">
        <f>IF(路线!C6="计算",INT(45+11*路线!B34+4*路线!B14+30+20)-ROW()*0.00001,INT(45+11*路线!B34+4*路线!B14+30)-ROW()*0.00001)</f>
        <v>143.99902</v>
      </c>
      <c r="L98" s="1" t="str">
        <f t="shared" ref="L98:L110" si="108">IF(AND(OR(E98=1,E98=0),G98=1),D98,"")</f>
        <v/>
      </c>
      <c r="M98" s="1" t="str">
        <f t="shared" ref="M98:M110" si="109">IF(AND(OR(E98=2,E98=0),G98=1),D98,"")</f>
        <v/>
      </c>
      <c r="N98" s="1" t="str">
        <f t="shared" ref="N98:N110" si="110">IF(AND(OR(E98=3,E98=0),G98=1),D98,"")</f>
        <v/>
      </c>
      <c r="O98" s="1" t="str">
        <f t="shared" ref="O98:O110" si="111">IF(AND(OR(E98=1,E98=0),G98=2),D98,"")</f>
        <v/>
      </c>
      <c r="P98" s="1" t="str">
        <f t="shared" ref="P98:P110" si="112">IF(AND(OR(E98=2,E98=0),G98=2),D98,"")</f>
        <v/>
      </c>
      <c r="Q98" s="1" t="str">
        <f t="shared" ref="Q98:Q110" si="113">IF(AND(OR(E98=3,E98=0),G98=2),D98,"")</f>
        <v/>
      </c>
      <c r="R98" s="1">
        <f t="shared" ref="R98:R110" si="114">IF(AND(OR(E98=1,E98=0),G98=3),D98,"")</f>
        <v>143.99902</v>
      </c>
      <c r="S98" s="1">
        <f t="shared" ref="S98:S110" si="115">IF(AND(OR(E98=2,E98=0),G98=3),D98,"")</f>
        <v>143.99902</v>
      </c>
      <c r="T98" s="1">
        <f t="shared" ref="T98:T110" si="116">IF(AND(OR(E98=3,E98=0),G98=3),D98,"")</f>
        <v>143.99902</v>
      </c>
      <c r="U98" s="1" t="str">
        <f t="shared" ref="U98:U110" si="117">IF(AND(OR(E98=1,E98=0),G98=1,F98=1),D98,"")</f>
        <v/>
      </c>
      <c r="V98" s="1" t="str">
        <f t="shared" ref="V98:V110" si="118">IF(AND(OR(E98=1,E98=0),G98=2,F98=1),D98,"")</f>
        <v/>
      </c>
      <c r="W98" s="1" t="str">
        <f t="shared" ref="W98:W110" si="119">IF(AND(OR(E98=1,E98=0),G98=3,F98=1),D98,"")</f>
        <v/>
      </c>
      <c r="X98" s="1" t="str">
        <f t="shared" ref="X98:X110" si="120">IF(AND(OR(E98=2,E98=0),G98=1,F98=1),D98,"")</f>
        <v/>
      </c>
      <c r="Y98" s="1" t="str">
        <f t="shared" ref="Y98:Y110" si="121">IF(AND(OR(E98=2,E98=0),G98=2,F98=1),D98,"")</f>
        <v/>
      </c>
      <c r="Z98" s="1" t="str">
        <f t="shared" ref="Z98:Z110" si="122">IF(AND(OR(E98=2,E98=0),G98=3,F98=1),D98,"")</f>
        <v/>
      </c>
      <c r="AA98" s="1" t="str">
        <f t="shared" ref="AA98:AA110" si="123">IF(AND(OR(E98=3,E98=0),G98=1,F98=1),D98,"")</f>
        <v/>
      </c>
      <c r="AB98" s="1" t="str">
        <f t="shared" ref="AB98:AB110" si="124">IF(AND(OR(E98=3,E98=0),G98=2,F98=1),D98,"")</f>
        <v/>
      </c>
      <c r="AC98" s="1" t="str">
        <f t="shared" ref="AC98:AC110" si="125">IF(AND(OR(E98=3,E98=0),G98=3,F98=1),D98,"")</f>
        <v/>
      </c>
      <c r="AD98" s="1" t="str">
        <f t="shared" ref="AD98:AD110" si="126">IF(AND(OR(E98=1,E98=0),G98=1,F98=0),J98,"")</f>
        <v/>
      </c>
      <c r="AE98" s="1" t="str">
        <f t="shared" ref="AE98:AE110" si="127">IF(AND(OR(E98=1,E98=0),G98=2,F98=0),J98,"")</f>
        <v/>
      </c>
      <c r="AF98" s="1">
        <f t="shared" ref="AF98:AF110" si="128">IF(AND(OR(E98=1,E98=0),G98=3,F98=0),J98,"")</f>
        <v>143.99902</v>
      </c>
      <c r="AG98" s="1" t="str">
        <f t="shared" ref="AG98:AG110" si="129">IF(AND(OR(E98=1,E98=0),G98=1,F98=1),J98,"")</f>
        <v/>
      </c>
      <c r="AH98" s="1" t="str">
        <f t="shared" ref="AH98:AH110" si="130">IF(AND(OR(E98=1,E98=0),G98=2,F98=1),J98,"")</f>
        <v/>
      </c>
      <c r="AI98" s="1" t="str">
        <f t="shared" ref="AI98:AI110" si="131">IF(AND(OR(E98=1,E98=0),G98=3,F98=1),J98,"")</f>
        <v/>
      </c>
      <c r="AJ98" s="1" t="str">
        <f t="shared" ref="AJ98:AJ110" si="132">IF(AND(OR(E98=2,E98=0),G98=1,F98=0),J98,"")</f>
        <v/>
      </c>
      <c r="AK98" s="1" t="str">
        <f t="shared" ref="AK98:AK110" si="133">IF(AND(OR(E98=2,E98=0),G98=2,F98=0),J98,"")</f>
        <v/>
      </c>
      <c r="AL98" s="1">
        <f t="shared" ref="AL98:AL110" si="134">IF(AND(OR(E98=2,E98=0),G98=3,F98=0),J98,"")</f>
        <v>143.99902</v>
      </c>
      <c r="AM98" s="1" t="str">
        <f t="shared" ref="AM98:AM110" si="135">IF(AND(OR(E98=2,E98=0),G98=1,F98=1),J98,"")</f>
        <v/>
      </c>
      <c r="AN98" s="1" t="str">
        <f t="shared" ref="AN98:AN110" si="136">IF(AND(OR(E98=2,E98=0),G98=2,F98=1),J98,"")</f>
        <v/>
      </c>
      <c r="AO98" s="1" t="str">
        <f t="shared" ref="AO98:AO110" si="137">IF(AND(OR(E98=2,E98=0),G98=3,F98=1),J98,"")</f>
        <v/>
      </c>
      <c r="AP98" s="1" t="str">
        <f t="shared" ref="AP98:AP110" si="138">IF(AND(OR(E98=3,E98=0),G98=1,F98=0),J98,"")</f>
        <v/>
      </c>
      <c r="AQ98" s="1" t="str">
        <f t="shared" ref="AQ98:AQ110" si="139">IF(AND(OR(E98=3,E98=0),G98=2,F98=0),J98,"")</f>
        <v/>
      </c>
      <c r="AR98" s="1">
        <f t="shared" ref="AR98:AR110" si="140">IF(AND(OR(E98=3,E98=0),G98=3,F98=0),J98,"")</f>
        <v>143.99902</v>
      </c>
      <c r="AS98" s="1" t="str">
        <f t="shared" ref="AS98:AS110" si="141">IF(AND(OR(E98=3,E98=0),G98=1,F98=1),J98,"")</f>
        <v/>
      </c>
      <c r="AT98" s="1" t="str">
        <f t="shared" ref="AT98:AT110" si="142">IF(AND(OR(E98=3,E98=0),G98=2,F98=1),J98,"")</f>
        <v/>
      </c>
      <c r="AU98" s="1" t="str">
        <f t="shared" ref="AU98:AU110" si="143">IF(AND(OR(E98=3,E98=0),G98=3,F98=1),J98,"")</f>
        <v/>
      </c>
    </row>
    <row r="99" spans="1:47" ht="19" customHeight="1" x14ac:dyDescent="0.3">
      <c r="A99" s="67" t="s">
        <v>6</v>
      </c>
      <c r="B99" s="67"/>
      <c r="C99" s="67"/>
      <c r="D99" s="89">
        <f>持有情况!BD4-ROW()*0.00001</f>
        <v>120.99901</v>
      </c>
      <c r="E99" s="90">
        <v>0</v>
      </c>
      <c r="F99" s="90">
        <v>0</v>
      </c>
      <c r="G99" s="89">
        <v>3</v>
      </c>
      <c r="H99" s="90">
        <v>0</v>
      </c>
      <c r="I99" s="1"/>
      <c r="J99" s="89">
        <f>INT(45+17*路线!B32+3*(路线!B28+路线!B29)+30)-ROW()*0.00001</f>
        <v>120.99901</v>
      </c>
      <c r="L99" s="1" t="str">
        <f t="shared" si="108"/>
        <v/>
      </c>
      <c r="M99" s="1" t="str">
        <f t="shared" si="109"/>
        <v/>
      </c>
      <c r="N99" s="1" t="str">
        <f t="shared" si="110"/>
        <v/>
      </c>
      <c r="O99" s="1" t="str">
        <f t="shared" si="111"/>
        <v/>
      </c>
      <c r="P99" s="1" t="str">
        <f t="shared" si="112"/>
        <v/>
      </c>
      <c r="Q99" s="1" t="str">
        <f t="shared" si="113"/>
        <v/>
      </c>
      <c r="R99" s="1">
        <f t="shared" si="114"/>
        <v>120.99901</v>
      </c>
      <c r="S99" s="1">
        <f t="shared" si="115"/>
        <v>120.99901</v>
      </c>
      <c r="T99" s="1">
        <f t="shared" si="116"/>
        <v>120.99901</v>
      </c>
      <c r="U99" s="1" t="str">
        <f t="shared" si="117"/>
        <v/>
      </c>
      <c r="V99" s="1" t="str">
        <f t="shared" si="118"/>
        <v/>
      </c>
      <c r="W99" s="1" t="str">
        <f t="shared" si="119"/>
        <v/>
      </c>
      <c r="X99" s="1" t="str">
        <f t="shared" si="120"/>
        <v/>
      </c>
      <c r="Y99" s="1" t="str">
        <f t="shared" si="121"/>
        <v/>
      </c>
      <c r="Z99" s="1" t="str">
        <f t="shared" si="122"/>
        <v/>
      </c>
      <c r="AA99" s="1" t="str">
        <f t="shared" si="123"/>
        <v/>
      </c>
      <c r="AB99" s="1" t="str">
        <f t="shared" si="124"/>
        <v/>
      </c>
      <c r="AC99" s="1" t="str">
        <f t="shared" si="125"/>
        <v/>
      </c>
      <c r="AD99" s="1" t="str">
        <f t="shared" si="126"/>
        <v/>
      </c>
      <c r="AE99" s="1" t="str">
        <f t="shared" si="127"/>
        <v/>
      </c>
      <c r="AF99" s="1">
        <f t="shared" si="128"/>
        <v>120.99901</v>
      </c>
      <c r="AG99" s="1" t="str">
        <f t="shared" si="129"/>
        <v/>
      </c>
      <c r="AH99" s="1" t="str">
        <f t="shared" si="130"/>
        <v/>
      </c>
      <c r="AI99" s="1" t="str">
        <f t="shared" si="131"/>
        <v/>
      </c>
      <c r="AJ99" s="1" t="str">
        <f t="shared" si="132"/>
        <v/>
      </c>
      <c r="AK99" s="1" t="str">
        <f t="shared" si="133"/>
        <v/>
      </c>
      <c r="AL99" s="1">
        <f t="shared" si="134"/>
        <v>120.99901</v>
      </c>
      <c r="AM99" s="1" t="str">
        <f t="shared" si="135"/>
        <v/>
      </c>
      <c r="AN99" s="1" t="str">
        <f t="shared" si="136"/>
        <v/>
      </c>
      <c r="AO99" s="1" t="str">
        <f t="shared" si="137"/>
        <v/>
      </c>
      <c r="AP99" s="1" t="str">
        <f t="shared" si="138"/>
        <v/>
      </c>
      <c r="AQ99" s="1" t="str">
        <f t="shared" si="139"/>
        <v/>
      </c>
      <c r="AR99" s="1">
        <f t="shared" si="140"/>
        <v>120.99901</v>
      </c>
      <c r="AS99" s="1" t="str">
        <f t="shared" si="141"/>
        <v/>
      </c>
      <c r="AT99" s="1" t="str">
        <f t="shared" si="142"/>
        <v/>
      </c>
      <c r="AU99" s="1" t="str">
        <f t="shared" si="143"/>
        <v/>
      </c>
    </row>
    <row r="100" spans="1:47" ht="19" customHeight="1" x14ac:dyDescent="0.3">
      <c r="A100" s="75" t="s">
        <v>123</v>
      </c>
      <c r="B100" s="75"/>
      <c r="C100" s="75"/>
      <c r="D100" s="89">
        <f>持有情况!AT88-ROW()*0.00001</f>
        <v>106.999</v>
      </c>
      <c r="E100" s="90">
        <v>0</v>
      </c>
      <c r="F100" s="89">
        <v>1</v>
      </c>
      <c r="G100" s="89">
        <v>2</v>
      </c>
      <c r="H100" s="90">
        <v>0</v>
      </c>
      <c r="I100" s="1"/>
      <c r="J100" s="89">
        <f>INT(45+8*路线!B33+30)-ROW()*0.00001</f>
        <v>106.999</v>
      </c>
      <c r="L100" s="1" t="str">
        <f t="shared" si="108"/>
        <v/>
      </c>
      <c r="M100" s="1" t="str">
        <f t="shared" si="109"/>
        <v/>
      </c>
      <c r="N100" s="1" t="str">
        <f t="shared" si="110"/>
        <v/>
      </c>
      <c r="O100" s="1">
        <f t="shared" si="111"/>
        <v>106.999</v>
      </c>
      <c r="P100" s="1">
        <f t="shared" si="112"/>
        <v>106.999</v>
      </c>
      <c r="Q100" s="1">
        <f t="shared" si="113"/>
        <v>106.999</v>
      </c>
      <c r="R100" s="1" t="str">
        <f t="shared" si="114"/>
        <v/>
      </c>
      <c r="S100" s="1" t="str">
        <f t="shared" si="115"/>
        <v/>
      </c>
      <c r="T100" s="1" t="str">
        <f t="shared" si="116"/>
        <v/>
      </c>
      <c r="U100" s="1" t="str">
        <f t="shared" si="117"/>
        <v/>
      </c>
      <c r="V100" s="1">
        <f t="shared" si="118"/>
        <v>106.999</v>
      </c>
      <c r="W100" s="1" t="str">
        <f t="shared" si="119"/>
        <v/>
      </c>
      <c r="X100" s="1" t="str">
        <f t="shared" si="120"/>
        <v/>
      </c>
      <c r="Y100" s="1">
        <f t="shared" si="121"/>
        <v>106.999</v>
      </c>
      <c r="Z100" s="1" t="str">
        <f t="shared" si="122"/>
        <v/>
      </c>
      <c r="AA100" s="1" t="str">
        <f t="shared" si="123"/>
        <v/>
      </c>
      <c r="AB100" s="1">
        <f t="shared" si="124"/>
        <v>106.999</v>
      </c>
      <c r="AC100" s="1" t="str">
        <f t="shared" si="125"/>
        <v/>
      </c>
      <c r="AD100" s="1" t="str">
        <f t="shared" si="126"/>
        <v/>
      </c>
      <c r="AE100" s="1" t="str">
        <f t="shared" si="127"/>
        <v/>
      </c>
      <c r="AF100" s="1" t="str">
        <f t="shared" si="128"/>
        <v/>
      </c>
      <c r="AG100" s="1" t="str">
        <f t="shared" si="129"/>
        <v/>
      </c>
      <c r="AH100" s="1">
        <f t="shared" si="130"/>
        <v>106.999</v>
      </c>
      <c r="AI100" s="1" t="str">
        <f t="shared" si="131"/>
        <v/>
      </c>
      <c r="AJ100" s="1" t="str">
        <f t="shared" si="132"/>
        <v/>
      </c>
      <c r="AK100" s="1" t="str">
        <f t="shared" si="133"/>
        <v/>
      </c>
      <c r="AL100" s="1" t="str">
        <f t="shared" si="134"/>
        <v/>
      </c>
      <c r="AM100" s="1" t="str">
        <f t="shared" si="135"/>
        <v/>
      </c>
      <c r="AN100" s="1">
        <f t="shared" si="136"/>
        <v>106.999</v>
      </c>
      <c r="AO100" s="1" t="str">
        <f t="shared" si="137"/>
        <v/>
      </c>
      <c r="AP100" s="1" t="str">
        <f t="shared" si="138"/>
        <v/>
      </c>
      <c r="AQ100" s="1" t="str">
        <f t="shared" si="139"/>
        <v/>
      </c>
      <c r="AR100" s="1" t="str">
        <f t="shared" si="140"/>
        <v/>
      </c>
      <c r="AS100" s="1" t="str">
        <f t="shared" si="141"/>
        <v/>
      </c>
      <c r="AT100" s="1">
        <f t="shared" si="142"/>
        <v>106.999</v>
      </c>
      <c r="AU100" s="1" t="str">
        <f t="shared" si="143"/>
        <v/>
      </c>
    </row>
    <row r="101" spans="1:47" ht="19" customHeight="1" x14ac:dyDescent="0.3">
      <c r="A101" s="67" t="s">
        <v>144</v>
      </c>
      <c r="B101" s="67"/>
      <c r="C101" s="67"/>
      <c r="D101" s="89">
        <f>持有情况!Z112-ROW()*0.00001</f>
        <v>336.99898999999999</v>
      </c>
      <c r="E101" s="89">
        <v>3</v>
      </c>
      <c r="F101" s="90">
        <v>0</v>
      </c>
      <c r="G101" s="89">
        <v>3</v>
      </c>
      <c r="H101" s="90">
        <v>0</v>
      </c>
      <c r="I101" s="1"/>
      <c r="J101" s="89">
        <f>IF(路线!C6="计算",INT(60+21*IF(路线!B38&lt;=3,路线!B38,3)+17*路线!B15+22*IF(路线!B37&lt;=3,路线!B37,3)+40+40),INT(60+21*IF(路线!B38&lt;=3,路线!B38,3)+17*路线!B15+22*IF(路线!B37&lt;=3,路线!B37,3)+40))-ROW()*0.00001</f>
        <v>336.99898999999999</v>
      </c>
      <c r="K101" s="1"/>
      <c r="L101" s="84" t="str">
        <f t="shared" si="108"/>
        <v/>
      </c>
      <c r="M101" s="84" t="str">
        <f t="shared" si="109"/>
        <v/>
      </c>
      <c r="N101" s="84" t="str">
        <f t="shared" si="110"/>
        <v/>
      </c>
      <c r="O101" s="84" t="str">
        <f t="shared" si="111"/>
        <v/>
      </c>
      <c r="P101" s="84" t="str">
        <f t="shared" si="112"/>
        <v/>
      </c>
      <c r="Q101" s="84" t="str">
        <f t="shared" si="113"/>
        <v/>
      </c>
      <c r="R101" s="84" t="str">
        <f t="shared" si="114"/>
        <v/>
      </c>
      <c r="S101" s="84" t="str">
        <f t="shared" si="115"/>
        <v/>
      </c>
      <c r="T101" s="84">
        <f t="shared" si="116"/>
        <v>336.99898999999999</v>
      </c>
      <c r="U101" s="84" t="str">
        <f t="shared" si="117"/>
        <v/>
      </c>
      <c r="V101" s="84" t="str">
        <f t="shared" si="118"/>
        <v/>
      </c>
      <c r="W101" s="84" t="str">
        <f t="shared" si="119"/>
        <v/>
      </c>
      <c r="X101" s="84" t="str">
        <f t="shared" si="120"/>
        <v/>
      </c>
      <c r="Y101" s="84" t="str">
        <f t="shared" si="121"/>
        <v/>
      </c>
      <c r="Z101" s="84" t="str">
        <f t="shared" si="122"/>
        <v/>
      </c>
      <c r="AA101" s="84" t="str">
        <f t="shared" si="123"/>
        <v/>
      </c>
      <c r="AB101" s="84" t="str">
        <f t="shared" si="124"/>
        <v/>
      </c>
      <c r="AC101" s="84" t="str">
        <f t="shared" si="125"/>
        <v/>
      </c>
      <c r="AD101" s="84" t="str">
        <f t="shared" si="126"/>
        <v/>
      </c>
      <c r="AE101" s="84" t="str">
        <f t="shared" si="127"/>
        <v/>
      </c>
      <c r="AF101" s="84" t="str">
        <f t="shared" si="128"/>
        <v/>
      </c>
      <c r="AG101" s="84" t="str">
        <f t="shared" si="129"/>
        <v/>
      </c>
      <c r="AH101" s="84" t="str">
        <f t="shared" si="130"/>
        <v/>
      </c>
      <c r="AI101" s="84" t="str">
        <f t="shared" si="131"/>
        <v/>
      </c>
      <c r="AJ101" s="84" t="str">
        <f t="shared" si="132"/>
        <v/>
      </c>
      <c r="AK101" s="84" t="str">
        <f t="shared" si="133"/>
        <v/>
      </c>
      <c r="AL101" s="84" t="str">
        <f t="shared" si="134"/>
        <v/>
      </c>
      <c r="AM101" s="84" t="str">
        <f t="shared" si="135"/>
        <v/>
      </c>
      <c r="AN101" s="84" t="str">
        <f t="shared" si="136"/>
        <v/>
      </c>
      <c r="AO101" s="84" t="str">
        <f t="shared" si="137"/>
        <v/>
      </c>
      <c r="AP101" s="84" t="str">
        <f t="shared" si="138"/>
        <v/>
      </c>
      <c r="AQ101" s="84" t="str">
        <f t="shared" si="139"/>
        <v/>
      </c>
      <c r="AR101" s="84">
        <f t="shared" si="140"/>
        <v>336.99898999999999</v>
      </c>
      <c r="AS101" s="84" t="str">
        <f t="shared" si="141"/>
        <v/>
      </c>
      <c r="AT101" s="84" t="str">
        <f t="shared" si="142"/>
        <v/>
      </c>
      <c r="AU101" s="84" t="str">
        <f t="shared" si="143"/>
        <v/>
      </c>
    </row>
    <row r="102" spans="1:47" ht="19" customHeight="1" x14ac:dyDescent="0.3">
      <c r="A102" s="67" t="s">
        <v>124</v>
      </c>
      <c r="B102" s="67"/>
      <c r="C102" s="67"/>
      <c r="D102" s="89">
        <f>持有情况!BD88-ROW()*0.00001</f>
        <v>143.99897999999999</v>
      </c>
      <c r="E102" s="89">
        <v>3</v>
      </c>
      <c r="F102" s="89">
        <v>1</v>
      </c>
      <c r="G102" s="89">
        <v>3</v>
      </c>
      <c r="H102" s="90">
        <v>0</v>
      </c>
      <c r="I102" s="1"/>
      <c r="J102" s="89">
        <f>INT(45+17+13*路线!B15+30)-ROW()*0.00001</f>
        <v>143.99897999999999</v>
      </c>
      <c r="K102" s="1"/>
      <c r="L102" s="84" t="str">
        <f t="shared" si="108"/>
        <v/>
      </c>
      <c r="M102" s="84" t="str">
        <f t="shared" si="109"/>
        <v/>
      </c>
      <c r="N102" s="84" t="str">
        <f t="shared" si="110"/>
        <v/>
      </c>
      <c r="O102" s="84" t="str">
        <f t="shared" si="111"/>
        <v/>
      </c>
      <c r="P102" s="84" t="str">
        <f t="shared" si="112"/>
        <v/>
      </c>
      <c r="Q102" s="84" t="str">
        <f t="shared" si="113"/>
        <v/>
      </c>
      <c r="R102" s="84" t="str">
        <f t="shared" si="114"/>
        <v/>
      </c>
      <c r="S102" s="84" t="str">
        <f t="shared" si="115"/>
        <v/>
      </c>
      <c r="T102" s="84">
        <f t="shared" si="116"/>
        <v>143.99897999999999</v>
      </c>
      <c r="U102" s="84" t="str">
        <f t="shared" si="117"/>
        <v/>
      </c>
      <c r="V102" s="84" t="str">
        <f t="shared" si="118"/>
        <v/>
      </c>
      <c r="W102" s="84" t="str">
        <f t="shared" si="119"/>
        <v/>
      </c>
      <c r="X102" s="84" t="str">
        <f t="shared" si="120"/>
        <v/>
      </c>
      <c r="Y102" s="84" t="str">
        <f t="shared" si="121"/>
        <v/>
      </c>
      <c r="Z102" s="84" t="str">
        <f t="shared" si="122"/>
        <v/>
      </c>
      <c r="AA102" s="84" t="str">
        <f t="shared" si="123"/>
        <v/>
      </c>
      <c r="AB102" s="84" t="str">
        <f t="shared" si="124"/>
        <v/>
      </c>
      <c r="AC102" s="84">
        <f t="shared" si="125"/>
        <v>143.99897999999999</v>
      </c>
      <c r="AD102" s="84" t="str">
        <f t="shared" si="126"/>
        <v/>
      </c>
      <c r="AE102" s="84" t="str">
        <f t="shared" si="127"/>
        <v/>
      </c>
      <c r="AF102" s="84" t="str">
        <f t="shared" si="128"/>
        <v/>
      </c>
      <c r="AG102" s="84" t="str">
        <f t="shared" si="129"/>
        <v/>
      </c>
      <c r="AH102" s="84" t="str">
        <f t="shared" si="130"/>
        <v/>
      </c>
      <c r="AI102" s="84" t="str">
        <f t="shared" si="131"/>
        <v/>
      </c>
      <c r="AJ102" s="84" t="str">
        <f t="shared" si="132"/>
        <v/>
      </c>
      <c r="AK102" s="84" t="str">
        <f t="shared" si="133"/>
        <v/>
      </c>
      <c r="AL102" s="84" t="str">
        <f t="shared" si="134"/>
        <v/>
      </c>
      <c r="AM102" s="84" t="str">
        <f t="shared" si="135"/>
        <v/>
      </c>
      <c r="AN102" s="84" t="str">
        <f t="shared" si="136"/>
        <v/>
      </c>
      <c r="AO102" s="84" t="str">
        <f t="shared" si="137"/>
        <v/>
      </c>
      <c r="AP102" s="84" t="str">
        <f t="shared" si="138"/>
        <v/>
      </c>
      <c r="AQ102" s="84" t="str">
        <f t="shared" si="139"/>
        <v/>
      </c>
      <c r="AR102" s="84" t="str">
        <f t="shared" si="140"/>
        <v/>
      </c>
      <c r="AS102" s="84" t="str">
        <f t="shared" si="141"/>
        <v/>
      </c>
      <c r="AT102" s="84" t="str">
        <f t="shared" si="142"/>
        <v/>
      </c>
      <c r="AU102" s="84">
        <f t="shared" si="143"/>
        <v>143.99897999999999</v>
      </c>
    </row>
    <row r="103" spans="1:47" ht="19" customHeight="1" x14ac:dyDescent="0.3">
      <c r="A103" s="67" t="s">
        <v>148</v>
      </c>
      <c r="B103" s="67"/>
      <c r="C103" s="67"/>
      <c r="D103" s="89">
        <f>持有情况!Z118-ROW()*0.00001</f>
        <v>187.99897000000001</v>
      </c>
      <c r="E103" s="90">
        <v>0</v>
      </c>
      <c r="F103" s="90">
        <v>0</v>
      </c>
      <c r="G103" s="89">
        <v>3</v>
      </c>
      <c r="H103" s="89">
        <v>1</v>
      </c>
      <c r="I103" s="84" t="s">
        <v>337</v>
      </c>
      <c r="J103" s="89">
        <f>INT((8.5/100)*路线!B11+2*路线!B23+13*路线!B15+40)-ROW()*0.00001</f>
        <v>187.99897000000001</v>
      </c>
      <c r="K103" s="1"/>
      <c r="L103" s="84" t="str">
        <f t="shared" si="108"/>
        <v/>
      </c>
      <c r="M103" s="84" t="str">
        <f t="shared" si="109"/>
        <v/>
      </c>
      <c r="N103" s="84" t="str">
        <f t="shared" si="110"/>
        <v/>
      </c>
      <c r="O103" s="84" t="str">
        <f t="shared" si="111"/>
        <v/>
      </c>
      <c r="P103" s="84" t="str">
        <f t="shared" si="112"/>
        <v/>
      </c>
      <c r="Q103" s="84" t="str">
        <f t="shared" si="113"/>
        <v/>
      </c>
      <c r="R103" s="84">
        <f t="shared" si="114"/>
        <v>187.99897000000001</v>
      </c>
      <c r="S103" s="84">
        <f t="shared" si="115"/>
        <v>187.99897000000001</v>
      </c>
      <c r="T103" s="84">
        <f t="shared" si="116"/>
        <v>187.99897000000001</v>
      </c>
      <c r="U103" s="84" t="str">
        <f t="shared" si="117"/>
        <v/>
      </c>
      <c r="V103" s="84" t="str">
        <f t="shared" si="118"/>
        <v/>
      </c>
      <c r="W103" s="84" t="str">
        <f t="shared" si="119"/>
        <v/>
      </c>
      <c r="X103" s="84" t="str">
        <f t="shared" si="120"/>
        <v/>
      </c>
      <c r="Y103" s="84" t="str">
        <f t="shared" si="121"/>
        <v/>
      </c>
      <c r="Z103" s="84" t="str">
        <f t="shared" si="122"/>
        <v/>
      </c>
      <c r="AA103" s="84" t="str">
        <f t="shared" si="123"/>
        <v/>
      </c>
      <c r="AB103" s="84" t="str">
        <f t="shared" si="124"/>
        <v/>
      </c>
      <c r="AC103" s="84" t="str">
        <f t="shared" si="125"/>
        <v/>
      </c>
      <c r="AD103" s="84" t="str">
        <f t="shared" si="126"/>
        <v/>
      </c>
      <c r="AE103" s="84" t="str">
        <f t="shared" si="127"/>
        <v/>
      </c>
      <c r="AF103" s="84">
        <f t="shared" si="128"/>
        <v>187.99897000000001</v>
      </c>
      <c r="AG103" s="84" t="str">
        <f t="shared" si="129"/>
        <v/>
      </c>
      <c r="AH103" s="84" t="str">
        <f t="shared" si="130"/>
        <v/>
      </c>
      <c r="AI103" s="84" t="str">
        <f t="shared" si="131"/>
        <v/>
      </c>
      <c r="AJ103" s="84" t="str">
        <f t="shared" si="132"/>
        <v/>
      </c>
      <c r="AK103" s="84" t="str">
        <f t="shared" si="133"/>
        <v/>
      </c>
      <c r="AL103" s="84">
        <f t="shared" si="134"/>
        <v>187.99897000000001</v>
      </c>
      <c r="AM103" s="84" t="str">
        <f t="shared" si="135"/>
        <v/>
      </c>
      <c r="AN103" s="84" t="str">
        <f t="shared" si="136"/>
        <v/>
      </c>
      <c r="AO103" s="84" t="str">
        <f t="shared" si="137"/>
        <v/>
      </c>
      <c r="AP103" s="84" t="str">
        <f t="shared" si="138"/>
        <v/>
      </c>
      <c r="AQ103" s="84" t="str">
        <f t="shared" si="139"/>
        <v/>
      </c>
      <c r="AR103" s="84">
        <f t="shared" si="140"/>
        <v>187.99897000000001</v>
      </c>
      <c r="AS103" s="84" t="str">
        <f t="shared" si="141"/>
        <v/>
      </c>
      <c r="AT103" s="84" t="str">
        <f t="shared" si="142"/>
        <v/>
      </c>
      <c r="AU103" s="84" t="str">
        <f t="shared" si="143"/>
        <v/>
      </c>
    </row>
    <row r="104" spans="1:47" ht="19" customHeight="1" x14ac:dyDescent="0.3">
      <c r="A104" s="75" t="s">
        <v>147</v>
      </c>
      <c r="B104" s="75"/>
      <c r="C104" s="75"/>
      <c r="D104" s="89">
        <f>持有情况!P118-ROW()*0.00001</f>
        <v>237.99896000000001</v>
      </c>
      <c r="E104" s="89">
        <v>3</v>
      </c>
      <c r="F104" s="89">
        <v>1</v>
      </c>
      <c r="G104" s="89">
        <v>2</v>
      </c>
      <c r="H104" s="89">
        <v>1</v>
      </c>
      <c r="I104" s="84" t="s">
        <v>338</v>
      </c>
      <c r="J104" s="89">
        <f>INT(60+17*路线!B15+5*路线!B40+40)-ROW()*0.00001</f>
        <v>237.99896000000001</v>
      </c>
      <c r="K104" s="1"/>
      <c r="L104" s="84" t="str">
        <f t="shared" si="108"/>
        <v/>
      </c>
      <c r="M104" s="84" t="str">
        <f t="shared" si="109"/>
        <v/>
      </c>
      <c r="N104" s="84" t="str">
        <f t="shared" si="110"/>
        <v/>
      </c>
      <c r="O104" s="84" t="str">
        <f t="shared" si="111"/>
        <v/>
      </c>
      <c r="P104" s="84" t="str">
        <f t="shared" si="112"/>
        <v/>
      </c>
      <c r="Q104" s="84">
        <f t="shared" si="113"/>
        <v>237.99896000000001</v>
      </c>
      <c r="R104" s="84" t="str">
        <f t="shared" si="114"/>
        <v/>
      </c>
      <c r="S104" s="84" t="str">
        <f t="shared" si="115"/>
        <v/>
      </c>
      <c r="T104" s="84" t="str">
        <f t="shared" si="116"/>
        <v/>
      </c>
      <c r="U104" s="84" t="str">
        <f t="shared" si="117"/>
        <v/>
      </c>
      <c r="V104" s="84" t="str">
        <f t="shared" si="118"/>
        <v/>
      </c>
      <c r="W104" s="84" t="str">
        <f t="shared" si="119"/>
        <v/>
      </c>
      <c r="X104" s="84" t="str">
        <f t="shared" si="120"/>
        <v/>
      </c>
      <c r="Y104" s="84" t="str">
        <f t="shared" si="121"/>
        <v/>
      </c>
      <c r="Z104" s="84" t="str">
        <f t="shared" si="122"/>
        <v/>
      </c>
      <c r="AA104" s="84" t="str">
        <f t="shared" si="123"/>
        <v/>
      </c>
      <c r="AB104" s="84">
        <f t="shared" si="124"/>
        <v>237.99896000000001</v>
      </c>
      <c r="AC104" s="84" t="str">
        <f t="shared" si="125"/>
        <v/>
      </c>
      <c r="AD104" s="84" t="str">
        <f t="shared" si="126"/>
        <v/>
      </c>
      <c r="AE104" s="84" t="str">
        <f t="shared" si="127"/>
        <v/>
      </c>
      <c r="AF104" s="84" t="str">
        <f t="shared" si="128"/>
        <v/>
      </c>
      <c r="AG104" s="84" t="str">
        <f t="shared" si="129"/>
        <v/>
      </c>
      <c r="AH104" s="84" t="str">
        <f t="shared" si="130"/>
        <v/>
      </c>
      <c r="AI104" s="84" t="str">
        <f t="shared" si="131"/>
        <v/>
      </c>
      <c r="AJ104" s="84" t="str">
        <f t="shared" si="132"/>
        <v/>
      </c>
      <c r="AK104" s="84" t="str">
        <f t="shared" si="133"/>
        <v/>
      </c>
      <c r="AL104" s="84" t="str">
        <f t="shared" si="134"/>
        <v/>
      </c>
      <c r="AM104" s="84" t="str">
        <f t="shared" si="135"/>
        <v/>
      </c>
      <c r="AN104" s="84" t="str">
        <f t="shared" si="136"/>
        <v/>
      </c>
      <c r="AO104" s="84" t="str">
        <f t="shared" si="137"/>
        <v/>
      </c>
      <c r="AP104" s="84" t="str">
        <f t="shared" si="138"/>
        <v/>
      </c>
      <c r="AQ104" s="84" t="str">
        <f t="shared" si="139"/>
        <v/>
      </c>
      <c r="AR104" s="84" t="str">
        <f t="shared" si="140"/>
        <v/>
      </c>
      <c r="AS104" s="84" t="str">
        <f t="shared" si="141"/>
        <v/>
      </c>
      <c r="AT104" s="84">
        <f t="shared" si="142"/>
        <v>237.99896000000001</v>
      </c>
      <c r="AU104" s="84" t="str">
        <f t="shared" si="143"/>
        <v/>
      </c>
    </row>
    <row r="105" spans="1:47" ht="19" customHeight="1" x14ac:dyDescent="0.3">
      <c r="A105" s="75" t="s">
        <v>141</v>
      </c>
      <c r="B105" s="75"/>
      <c r="C105" s="75"/>
      <c r="D105" s="89">
        <f>IF(路线!B4="计算",持有情况!AW106,持有情况!AT106)-ROW()*0.00001</f>
        <v>198.99895000000001</v>
      </c>
      <c r="E105" s="89">
        <v>3</v>
      </c>
      <c r="F105" s="89">
        <v>1</v>
      </c>
      <c r="G105" s="89">
        <v>2</v>
      </c>
      <c r="H105" s="90">
        <v>0</v>
      </c>
      <c r="I105" s="1"/>
      <c r="J105" s="89">
        <f>IF(路线!B4="计算",INT(45+3*(路线!B28+路线!B29)+13*路线!B15+30+持有情况!AW105),INT(45+3*(路线!B28+路线!B29)+13*路线!B15+30))-ROW()*0.00001</f>
        <v>198.99895000000001</v>
      </c>
      <c r="K105" s="1"/>
      <c r="L105" s="84" t="str">
        <f t="shared" si="108"/>
        <v/>
      </c>
      <c r="M105" s="84" t="str">
        <f t="shared" si="109"/>
        <v/>
      </c>
      <c r="N105" s="84" t="str">
        <f t="shared" si="110"/>
        <v/>
      </c>
      <c r="O105" s="84" t="str">
        <f t="shared" si="111"/>
        <v/>
      </c>
      <c r="P105" s="84" t="str">
        <f t="shared" si="112"/>
        <v/>
      </c>
      <c r="Q105" s="84">
        <f t="shared" si="113"/>
        <v>198.99895000000001</v>
      </c>
      <c r="R105" s="84" t="str">
        <f t="shared" si="114"/>
        <v/>
      </c>
      <c r="S105" s="84" t="str">
        <f t="shared" si="115"/>
        <v/>
      </c>
      <c r="T105" s="84" t="str">
        <f t="shared" si="116"/>
        <v/>
      </c>
      <c r="U105" s="84" t="str">
        <f t="shared" si="117"/>
        <v/>
      </c>
      <c r="V105" s="84" t="str">
        <f t="shared" si="118"/>
        <v/>
      </c>
      <c r="W105" s="84" t="str">
        <f t="shared" si="119"/>
        <v/>
      </c>
      <c r="X105" s="84" t="str">
        <f t="shared" si="120"/>
        <v/>
      </c>
      <c r="Y105" s="84" t="str">
        <f t="shared" si="121"/>
        <v/>
      </c>
      <c r="Z105" s="84" t="str">
        <f t="shared" si="122"/>
        <v/>
      </c>
      <c r="AA105" s="84" t="str">
        <f t="shared" si="123"/>
        <v/>
      </c>
      <c r="AB105" s="84">
        <f t="shared" si="124"/>
        <v>198.99895000000001</v>
      </c>
      <c r="AC105" s="84" t="str">
        <f t="shared" si="125"/>
        <v/>
      </c>
      <c r="AD105" s="84" t="str">
        <f t="shared" si="126"/>
        <v/>
      </c>
      <c r="AE105" s="84" t="str">
        <f t="shared" si="127"/>
        <v/>
      </c>
      <c r="AF105" s="84" t="str">
        <f t="shared" si="128"/>
        <v/>
      </c>
      <c r="AG105" s="84" t="str">
        <f t="shared" si="129"/>
        <v/>
      </c>
      <c r="AH105" s="84" t="str">
        <f t="shared" si="130"/>
        <v/>
      </c>
      <c r="AI105" s="84" t="str">
        <f t="shared" si="131"/>
        <v/>
      </c>
      <c r="AJ105" s="84" t="str">
        <f t="shared" si="132"/>
        <v/>
      </c>
      <c r="AK105" s="84" t="str">
        <f t="shared" si="133"/>
        <v/>
      </c>
      <c r="AL105" s="84" t="str">
        <f t="shared" si="134"/>
        <v/>
      </c>
      <c r="AM105" s="84" t="str">
        <f t="shared" si="135"/>
        <v/>
      </c>
      <c r="AN105" s="84" t="str">
        <f t="shared" si="136"/>
        <v/>
      </c>
      <c r="AO105" s="84" t="str">
        <f t="shared" si="137"/>
        <v/>
      </c>
      <c r="AP105" s="84" t="str">
        <f t="shared" si="138"/>
        <v/>
      </c>
      <c r="AQ105" s="84" t="str">
        <f t="shared" si="139"/>
        <v/>
      </c>
      <c r="AR105" s="84" t="str">
        <f t="shared" si="140"/>
        <v/>
      </c>
      <c r="AS105" s="84" t="str">
        <f t="shared" si="141"/>
        <v/>
      </c>
      <c r="AT105" s="84">
        <f t="shared" si="142"/>
        <v>198.99895000000001</v>
      </c>
      <c r="AU105" s="84" t="str">
        <f t="shared" si="143"/>
        <v/>
      </c>
    </row>
    <row r="106" spans="1:47" ht="19" customHeight="1" x14ac:dyDescent="0.3">
      <c r="A106" s="66" t="s">
        <v>138</v>
      </c>
      <c r="B106" s="66"/>
      <c r="C106" s="66"/>
      <c r="D106" s="86">
        <f>持有情况!F106-ROW()*0.00001</f>
        <v>115.99894</v>
      </c>
      <c r="E106" s="86">
        <v>3</v>
      </c>
      <c r="F106" s="86">
        <v>1</v>
      </c>
      <c r="G106" s="86">
        <v>1</v>
      </c>
      <c r="H106" s="86">
        <v>1</v>
      </c>
      <c r="I106" s="86" t="s">
        <v>339</v>
      </c>
      <c r="J106" s="86">
        <f>INT(60+7*路线!B28+5*路线!B30+40)-ROW()*0.00001</f>
        <v>148.99894</v>
      </c>
      <c r="K106" s="86"/>
      <c r="L106" s="87" t="str">
        <f t="shared" si="108"/>
        <v/>
      </c>
      <c r="M106" s="87" t="str">
        <f t="shared" si="109"/>
        <v/>
      </c>
      <c r="N106" s="87">
        <f t="shared" si="110"/>
        <v>115.99894</v>
      </c>
      <c r="O106" s="87" t="str">
        <f t="shared" si="111"/>
        <v/>
      </c>
      <c r="P106" s="87" t="str">
        <f t="shared" si="112"/>
        <v/>
      </c>
      <c r="Q106" s="87" t="str">
        <f t="shared" si="113"/>
        <v/>
      </c>
      <c r="R106" s="87" t="str">
        <f t="shared" si="114"/>
        <v/>
      </c>
      <c r="S106" s="87" t="str">
        <f t="shared" si="115"/>
        <v/>
      </c>
      <c r="T106" s="87" t="str">
        <f t="shared" si="116"/>
        <v/>
      </c>
      <c r="U106" s="87" t="str">
        <f t="shared" si="117"/>
        <v/>
      </c>
      <c r="V106" s="87" t="str">
        <f t="shared" si="118"/>
        <v/>
      </c>
      <c r="W106" s="87" t="str">
        <f t="shared" si="119"/>
        <v/>
      </c>
      <c r="X106" s="87" t="str">
        <f t="shared" si="120"/>
        <v/>
      </c>
      <c r="Y106" s="87" t="str">
        <f t="shared" si="121"/>
        <v/>
      </c>
      <c r="Z106" s="87" t="str">
        <f t="shared" si="122"/>
        <v/>
      </c>
      <c r="AA106" s="87">
        <f t="shared" si="123"/>
        <v>115.99894</v>
      </c>
      <c r="AB106" s="87" t="str">
        <f t="shared" si="124"/>
        <v/>
      </c>
      <c r="AC106" s="87" t="str">
        <f t="shared" si="125"/>
        <v/>
      </c>
      <c r="AD106" s="87" t="str">
        <f t="shared" si="126"/>
        <v/>
      </c>
      <c r="AE106" s="87" t="str">
        <f t="shared" si="127"/>
        <v/>
      </c>
      <c r="AF106" s="87" t="str">
        <f t="shared" si="128"/>
        <v/>
      </c>
      <c r="AG106" s="87" t="str">
        <f t="shared" si="129"/>
        <v/>
      </c>
      <c r="AH106" s="87" t="str">
        <f t="shared" si="130"/>
        <v/>
      </c>
      <c r="AI106" s="87" t="str">
        <f t="shared" si="131"/>
        <v/>
      </c>
      <c r="AJ106" s="87" t="str">
        <f t="shared" si="132"/>
        <v/>
      </c>
      <c r="AK106" s="87" t="str">
        <f t="shared" si="133"/>
        <v/>
      </c>
      <c r="AL106" s="87" t="str">
        <f t="shared" si="134"/>
        <v/>
      </c>
      <c r="AM106" s="87" t="str">
        <f t="shared" si="135"/>
        <v/>
      </c>
      <c r="AN106" s="87" t="str">
        <f t="shared" si="136"/>
        <v/>
      </c>
      <c r="AO106" s="87" t="str">
        <f t="shared" si="137"/>
        <v/>
      </c>
      <c r="AP106" s="87" t="str">
        <f t="shared" si="138"/>
        <v/>
      </c>
      <c r="AQ106" s="87" t="str">
        <f t="shared" si="139"/>
        <v/>
      </c>
      <c r="AR106" s="87" t="str">
        <f t="shared" si="140"/>
        <v/>
      </c>
      <c r="AS106" s="87">
        <f t="shared" si="141"/>
        <v>148.99894</v>
      </c>
      <c r="AT106" s="87" t="str">
        <f t="shared" si="142"/>
        <v/>
      </c>
      <c r="AU106" s="87" t="str">
        <f t="shared" si="143"/>
        <v/>
      </c>
    </row>
    <row r="107" spans="1:47" ht="19" customHeight="1" x14ac:dyDescent="0.3">
      <c r="A107" s="92" t="s">
        <v>150</v>
      </c>
      <c r="B107" s="92"/>
      <c r="C107" s="92"/>
      <c r="D107" s="86">
        <f>持有情况!P124-ROW()*0.00001</f>
        <v>124.99893</v>
      </c>
      <c r="E107" s="86">
        <v>1</v>
      </c>
      <c r="F107" s="86">
        <v>1</v>
      </c>
      <c r="G107" s="86">
        <v>2</v>
      </c>
      <c r="H107" s="86">
        <v>1</v>
      </c>
      <c r="I107" s="86" t="s">
        <v>340</v>
      </c>
      <c r="J107" s="86">
        <f>INT(60+17+13*路线!B15+40)-ROW()*0.00001</f>
        <v>168.99893</v>
      </c>
      <c r="K107" s="86"/>
      <c r="L107" s="87" t="str">
        <f t="shared" si="108"/>
        <v/>
      </c>
      <c r="M107" s="87" t="str">
        <f t="shared" si="109"/>
        <v/>
      </c>
      <c r="N107" s="87" t="str">
        <f t="shared" si="110"/>
        <v/>
      </c>
      <c r="O107" s="87">
        <f t="shared" si="111"/>
        <v>124.99893</v>
      </c>
      <c r="P107" s="87" t="str">
        <f t="shared" si="112"/>
        <v/>
      </c>
      <c r="Q107" s="87" t="str">
        <f t="shared" si="113"/>
        <v/>
      </c>
      <c r="R107" s="87" t="str">
        <f t="shared" si="114"/>
        <v/>
      </c>
      <c r="S107" s="87" t="str">
        <f t="shared" si="115"/>
        <v/>
      </c>
      <c r="T107" s="87" t="str">
        <f t="shared" si="116"/>
        <v/>
      </c>
      <c r="U107" s="87" t="str">
        <f t="shared" si="117"/>
        <v/>
      </c>
      <c r="V107" s="87">
        <f t="shared" si="118"/>
        <v>124.99893</v>
      </c>
      <c r="W107" s="87" t="str">
        <f t="shared" si="119"/>
        <v/>
      </c>
      <c r="X107" s="87" t="str">
        <f t="shared" si="120"/>
        <v/>
      </c>
      <c r="Y107" s="87" t="str">
        <f t="shared" si="121"/>
        <v/>
      </c>
      <c r="Z107" s="87" t="str">
        <f t="shared" si="122"/>
        <v/>
      </c>
      <c r="AA107" s="87" t="str">
        <f t="shared" si="123"/>
        <v/>
      </c>
      <c r="AB107" s="87" t="str">
        <f t="shared" si="124"/>
        <v/>
      </c>
      <c r="AC107" s="87" t="str">
        <f t="shared" si="125"/>
        <v/>
      </c>
      <c r="AD107" s="87" t="str">
        <f t="shared" si="126"/>
        <v/>
      </c>
      <c r="AE107" s="87" t="str">
        <f t="shared" si="127"/>
        <v/>
      </c>
      <c r="AF107" s="87" t="str">
        <f t="shared" si="128"/>
        <v/>
      </c>
      <c r="AG107" s="87" t="str">
        <f t="shared" si="129"/>
        <v/>
      </c>
      <c r="AH107" s="87">
        <f t="shared" si="130"/>
        <v>168.99893</v>
      </c>
      <c r="AI107" s="87" t="str">
        <f t="shared" si="131"/>
        <v/>
      </c>
      <c r="AJ107" s="87" t="str">
        <f t="shared" si="132"/>
        <v/>
      </c>
      <c r="AK107" s="87" t="str">
        <f t="shared" si="133"/>
        <v/>
      </c>
      <c r="AL107" s="87" t="str">
        <f t="shared" si="134"/>
        <v/>
      </c>
      <c r="AM107" s="87" t="str">
        <f t="shared" si="135"/>
        <v/>
      </c>
      <c r="AN107" s="87" t="str">
        <f t="shared" si="136"/>
        <v/>
      </c>
      <c r="AO107" s="87" t="str">
        <f t="shared" si="137"/>
        <v/>
      </c>
      <c r="AP107" s="87" t="str">
        <f t="shared" si="138"/>
        <v/>
      </c>
      <c r="AQ107" s="87" t="str">
        <f t="shared" si="139"/>
        <v/>
      </c>
      <c r="AR107" s="87" t="str">
        <f t="shared" si="140"/>
        <v/>
      </c>
      <c r="AS107" s="87" t="str">
        <f t="shared" si="141"/>
        <v/>
      </c>
      <c r="AT107" s="87" t="str">
        <f t="shared" si="142"/>
        <v/>
      </c>
      <c r="AU107" s="87" t="str">
        <f t="shared" si="143"/>
        <v/>
      </c>
    </row>
    <row r="108" spans="1:47" ht="19" customHeight="1" x14ac:dyDescent="0.3">
      <c r="A108" s="88" t="s">
        <v>151</v>
      </c>
      <c r="B108" s="88"/>
      <c r="C108" s="88"/>
      <c r="D108" s="86">
        <f>持有情况!Z124-ROW()*0.00001</f>
        <v>99.998919999999998</v>
      </c>
      <c r="E108" s="86">
        <v>2</v>
      </c>
      <c r="F108" s="86">
        <v>1</v>
      </c>
      <c r="G108" s="86">
        <v>3</v>
      </c>
      <c r="H108" s="86">
        <v>1</v>
      </c>
      <c r="I108" s="86" t="s">
        <v>341</v>
      </c>
      <c r="J108" s="86">
        <f>INT(60+7*路线!B29+2*路线!B24+40)-ROW()*0.00001</f>
        <v>137.99892</v>
      </c>
      <c r="K108" s="86"/>
      <c r="L108" s="87" t="str">
        <f t="shared" si="108"/>
        <v/>
      </c>
      <c r="M108" s="87" t="str">
        <f t="shared" si="109"/>
        <v/>
      </c>
      <c r="N108" s="87" t="str">
        <f t="shared" si="110"/>
        <v/>
      </c>
      <c r="O108" s="87" t="str">
        <f t="shared" si="111"/>
        <v/>
      </c>
      <c r="P108" s="87" t="str">
        <f t="shared" si="112"/>
        <v/>
      </c>
      <c r="Q108" s="87" t="str">
        <f t="shared" si="113"/>
        <v/>
      </c>
      <c r="R108" s="87" t="str">
        <f t="shared" si="114"/>
        <v/>
      </c>
      <c r="S108" s="87">
        <f t="shared" si="115"/>
        <v>99.998919999999998</v>
      </c>
      <c r="T108" s="87" t="str">
        <f t="shared" si="116"/>
        <v/>
      </c>
      <c r="U108" s="87" t="str">
        <f t="shared" si="117"/>
        <v/>
      </c>
      <c r="V108" s="87" t="str">
        <f t="shared" si="118"/>
        <v/>
      </c>
      <c r="W108" s="87" t="str">
        <f t="shared" si="119"/>
        <v/>
      </c>
      <c r="X108" s="87" t="str">
        <f t="shared" si="120"/>
        <v/>
      </c>
      <c r="Y108" s="87" t="str">
        <f t="shared" si="121"/>
        <v/>
      </c>
      <c r="Z108" s="87">
        <f t="shared" si="122"/>
        <v>99.998919999999998</v>
      </c>
      <c r="AA108" s="87" t="str">
        <f t="shared" si="123"/>
        <v/>
      </c>
      <c r="AB108" s="87" t="str">
        <f t="shared" si="124"/>
        <v/>
      </c>
      <c r="AC108" s="87" t="str">
        <f t="shared" si="125"/>
        <v/>
      </c>
      <c r="AD108" s="87" t="str">
        <f t="shared" si="126"/>
        <v/>
      </c>
      <c r="AE108" s="87" t="str">
        <f t="shared" si="127"/>
        <v/>
      </c>
      <c r="AF108" s="87" t="str">
        <f t="shared" si="128"/>
        <v/>
      </c>
      <c r="AG108" s="87" t="str">
        <f t="shared" si="129"/>
        <v/>
      </c>
      <c r="AH108" s="87" t="str">
        <f t="shared" si="130"/>
        <v/>
      </c>
      <c r="AI108" s="87" t="str">
        <f t="shared" si="131"/>
        <v/>
      </c>
      <c r="AJ108" s="87" t="str">
        <f t="shared" si="132"/>
        <v/>
      </c>
      <c r="AK108" s="87" t="str">
        <f t="shared" si="133"/>
        <v/>
      </c>
      <c r="AL108" s="87" t="str">
        <f t="shared" si="134"/>
        <v/>
      </c>
      <c r="AM108" s="87" t="str">
        <f t="shared" si="135"/>
        <v/>
      </c>
      <c r="AN108" s="87" t="str">
        <f t="shared" si="136"/>
        <v/>
      </c>
      <c r="AO108" s="87">
        <f t="shared" si="137"/>
        <v>137.99892</v>
      </c>
      <c r="AP108" s="87" t="str">
        <f t="shared" si="138"/>
        <v/>
      </c>
      <c r="AQ108" s="87" t="str">
        <f t="shared" si="139"/>
        <v/>
      </c>
      <c r="AR108" s="87" t="str">
        <f t="shared" si="140"/>
        <v/>
      </c>
      <c r="AS108" s="87" t="str">
        <f t="shared" si="141"/>
        <v/>
      </c>
      <c r="AT108" s="87" t="str">
        <f t="shared" si="142"/>
        <v/>
      </c>
      <c r="AU108" s="87" t="str">
        <f t="shared" si="143"/>
        <v/>
      </c>
    </row>
    <row r="109" spans="1:47" ht="19" customHeight="1" x14ac:dyDescent="0.3">
      <c r="A109" s="88" t="s">
        <v>152</v>
      </c>
      <c r="B109" s="88"/>
      <c r="C109" s="88"/>
      <c r="D109" s="86">
        <f>持有情况!Z130-ROW()*0.00001</f>
        <v>300.99891000000002</v>
      </c>
      <c r="E109" s="86">
        <v>2</v>
      </c>
      <c r="F109" s="86">
        <v>0</v>
      </c>
      <c r="G109" s="86">
        <v>3</v>
      </c>
      <c r="H109" s="86">
        <v>0</v>
      </c>
      <c r="I109" s="86"/>
      <c r="J109" s="86">
        <f>INT((8.5/100)*路线!B11+4*路线!B27+IF(路线!B41&gt;6,6,路线!B41)*11+17*路线!B34+40)-ROW()*0.00001</f>
        <v>300.99891000000002</v>
      </c>
      <c r="K109" s="86"/>
      <c r="L109" s="87" t="str">
        <f t="shared" si="108"/>
        <v/>
      </c>
      <c r="M109" s="87" t="str">
        <f t="shared" si="109"/>
        <v/>
      </c>
      <c r="N109" s="87" t="str">
        <f t="shared" si="110"/>
        <v/>
      </c>
      <c r="O109" s="87" t="str">
        <f t="shared" si="111"/>
        <v/>
      </c>
      <c r="P109" s="87" t="str">
        <f t="shared" si="112"/>
        <v/>
      </c>
      <c r="Q109" s="87" t="str">
        <f t="shared" si="113"/>
        <v/>
      </c>
      <c r="R109" s="87" t="str">
        <f t="shared" si="114"/>
        <v/>
      </c>
      <c r="S109" s="87">
        <f t="shared" si="115"/>
        <v>300.99891000000002</v>
      </c>
      <c r="T109" s="87" t="str">
        <f t="shared" si="116"/>
        <v/>
      </c>
      <c r="U109" s="87" t="str">
        <f t="shared" si="117"/>
        <v/>
      </c>
      <c r="V109" s="87" t="str">
        <f t="shared" si="118"/>
        <v/>
      </c>
      <c r="W109" s="87" t="str">
        <f t="shared" si="119"/>
        <v/>
      </c>
      <c r="X109" s="87" t="str">
        <f t="shared" si="120"/>
        <v/>
      </c>
      <c r="Y109" s="87" t="str">
        <f t="shared" si="121"/>
        <v/>
      </c>
      <c r="Z109" s="87" t="str">
        <f t="shared" si="122"/>
        <v/>
      </c>
      <c r="AA109" s="87" t="str">
        <f t="shared" si="123"/>
        <v/>
      </c>
      <c r="AB109" s="87" t="str">
        <f t="shared" si="124"/>
        <v/>
      </c>
      <c r="AC109" s="87" t="str">
        <f t="shared" si="125"/>
        <v/>
      </c>
      <c r="AD109" s="87" t="str">
        <f t="shared" si="126"/>
        <v/>
      </c>
      <c r="AE109" s="87" t="str">
        <f t="shared" si="127"/>
        <v/>
      </c>
      <c r="AF109" s="87" t="str">
        <f t="shared" si="128"/>
        <v/>
      </c>
      <c r="AG109" s="87" t="str">
        <f t="shared" si="129"/>
        <v/>
      </c>
      <c r="AH109" s="87" t="str">
        <f t="shared" si="130"/>
        <v/>
      </c>
      <c r="AI109" s="87" t="str">
        <f t="shared" si="131"/>
        <v/>
      </c>
      <c r="AJ109" s="87" t="str">
        <f t="shared" si="132"/>
        <v/>
      </c>
      <c r="AK109" s="87" t="str">
        <f t="shared" si="133"/>
        <v/>
      </c>
      <c r="AL109" s="87">
        <f t="shared" si="134"/>
        <v>300.99891000000002</v>
      </c>
      <c r="AM109" s="87" t="str">
        <f t="shared" si="135"/>
        <v/>
      </c>
      <c r="AN109" s="87" t="str">
        <f t="shared" si="136"/>
        <v/>
      </c>
      <c r="AO109" s="87" t="str">
        <f t="shared" si="137"/>
        <v/>
      </c>
      <c r="AP109" s="87" t="str">
        <f t="shared" si="138"/>
        <v/>
      </c>
      <c r="AQ109" s="87" t="str">
        <f t="shared" si="139"/>
        <v/>
      </c>
      <c r="AR109" s="87" t="str">
        <f t="shared" si="140"/>
        <v/>
      </c>
      <c r="AS109" s="87" t="str">
        <f t="shared" si="141"/>
        <v/>
      </c>
      <c r="AT109" s="87" t="str">
        <f t="shared" si="142"/>
        <v/>
      </c>
      <c r="AU109" s="87" t="str">
        <f t="shared" si="143"/>
        <v/>
      </c>
    </row>
    <row r="110" spans="1:47" ht="19" customHeight="1" x14ac:dyDescent="0.3">
      <c r="A110" s="88" t="s">
        <v>129</v>
      </c>
      <c r="B110" s="88"/>
      <c r="C110" s="88"/>
      <c r="D110" s="86">
        <f>持有情况!BD94-ROW()*0.00001</f>
        <v>174.99889999999999</v>
      </c>
      <c r="E110" s="86">
        <v>2</v>
      </c>
      <c r="F110" s="86">
        <v>1</v>
      </c>
      <c r="G110" s="86">
        <v>3</v>
      </c>
      <c r="H110" s="86">
        <v>0</v>
      </c>
      <c r="I110" s="86"/>
      <c r="J110" s="86">
        <f>INT(45+IF(路线!B36&gt;3,3,路线!B36)*16+13*路线!B15+30)-ROW()*0.00001</f>
        <v>174.99889999999999</v>
      </c>
      <c r="K110" s="86"/>
      <c r="L110" s="87" t="str">
        <f t="shared" si="108"/>
        <v/>
      </c>
      <c r="M110" s="87" t="str">
        <f t="shared" si="109"/>
        <v/>
      </c>
      <c r="N110" s="87" t="str">
        <f t="shared" si="110"/>
        <v/>
      </c>
      <c r="O110" s="87" t="str">
        <f t="shared" si="111"/>
        <v/>
      </c>
      <c r="P110" s="87" t="str">
        <f t="shared" si="112"/>
        <v/>
      </c>
      <c r="Q110" s="87" t="str">
        <f t="shared" si="113"/>
        <v/>
      </c>
      <c r="R110" s="87" t="str">
        <f t="shared" si="114"/>
        <v/>
      </c>
      <c r="S110" s="87">
        <f t="shared" si="115"/>
        <v>174.99889999999999</v>
      </c>
      <c r="T110" s="87" t="str">
        <f t="shared" si="116"/>
        <v/>
      </c>
      <c r="U110" s="87" t="str">
        <f t="shared" si="117"/>
        <v/>
      </c>
      <c r="V110" s="87" t="str">
        <f t="shared" si="118"/>
        <v/>
      </c>
      <c r="W110" s="87" t="str">
        <f t="shared" si="119"/>
        <v/>
      </c>
      <c r="X110" s="87" t="str">
        <f t="shared" si="120"/>
        <v/>
      </c>
      <c r="Y110" s="87" t="str">
        <f t="shared" si="121"/>
        <v/>
      </c>
      <c r="Z110" s="87">
        <f t="shared" si="122"/>
        <v>174.99889999999999</v>
      </c>
      <c r="AA110" s="87" t="str">
        <f t="shared" si="123"/>
        <v/>
      </c>
      <c r="AB110" s="87" t="str">
        <f t="shared" si="124"/>
        <v/>
      </c>
      <c r="AC110" s="87" t="str">
        <f t="shared" si="125"/>
        <v/>
      </c>
      <c r="AD110" s="87" t="str">
        <f t="shared" si="126"/>
        <v/>
      </c>
      <c r="AE110" s="87" t="str">
        <f t="shared" si="127"/>
        <v/>
      </c>
      <c r="AF110" s="87" t="str">
        <f t="shared" si="128"/>
        <v/>
      </c>
      <c r="AG110" s="87" t="str">
        <f t="shared" si="129"/>
        <v/>
      </c>
      <c r="AH110" s="87" t="str">
        <f t="shared" si="130"/>
        <v/>
      </c>
      <c r="AI110" s="87" t="str">
        <f t="shared" si="131"/>
        <v/>
      </c>
      <c r="AJ110" s="87" t="str">
        <f t="shared" si="132"/>
        <v/>
      </c>
      <c r="AK110" s="87" t="str">
        <f t="shared" si="133"/>
        <v/>
      </c>
      <c r="AL110" s="87" t="str">
        <f t="shared" si="134"/>
        <v/>
      </c>
      <c r="AM110" s="87" t="str">
        <f t="shared" si="135"/>
        <v/>
      </c>
      <c r="AN110" s="87" t="str">
        <f t="shared" si="136"/>
        <v/>
      </c>
      <c r="AO110" s="87">
        <f t="shared" si="137"/>
        <v>174.99889999999999</v>
      </c>
      <c r="AP110" s="87" t="str">
        <f t="shared" si="138"/>
        <v/>
      </c>
      <c r="AQ110" s="87" t="str">
        <f t="shared" si="139"/>
        <v/>
      </c>
      <c r="AR110" s="87" t="str">
        <f t="shared" si="140"/>
        <v/>
      </c>
      <c r="AS110" s="87" t="str">
        <f t="shared" si="141"/>
        <v/>
      </c>
      <c r="AT110" s="87" t="str">
        <f t="shared" si="142"/>
        <v/>
      </c>
      <c r="AU110" s="87" t="str">
        <f t="shared" si="143"/>
        <v/>
      </c>
    </row>
    <row r="111" spans="1:47" ht="19" customHeight="1" x14ac:dyDescent="0.3">
      <c r="A111" s="89"/>
      <c r="B111" s="89"/>
      <c r="C111" s="89"/>
      <c r="D111" s="89"/>
      <c r="E111" s="89"/>
      <c r="F111" s="89"/>
      <c r="G111" s="89"/>
      <c r="H111" s="89"/>
      <c r="I111" s="89"/>
      <c r="J111" s="89"/>
      <c r="K111" s="89"/>
      <c r="L111" s="89"/>
      <c r="M111" s="89"/>
      <c r="N111" s="89"/>
      <c r="O111" s="89"/>
      <c r="P111" s="89"/>
    </row>
    <row r="112" spans="1:47" ht="19" customHeight="1" x14ac:dyDescent="0.3">
      <c r="A112" s="89"/>
      <c r="B112" s="89"/>
      <c r="C112" s="89"/>
      <c r="D112" s="89"/>
      <c r="E112" s="89"/>
      <c r="F112" s="89"/>
      <c r="G112" s="89"/>
      <c r="H112" s="89"/>
      <c r="I112" s="89"/>
      <c r="J112" s="89"/>
      <c r="K112" s="89"/>
      <c r="L112" s="89"/>
      <c r="M112" s="89"/>
      <c r="N112" s="89"/>
      <c r="O112" s="89"/>
      <c r="P112" s="89"/>
    </row>
    <row r="113" spans="1:21" ht="19" customHeight="1" x14ac:dyDescent="0.3">
      <c r="A113" s="90"/>
      <c r="B113" s="84"/>
      <c r="C113" s="84"/>
      <c r="D113" s="89"/>
      <c r="E113" s="89"/>
      <c r="H113" s="89"/>
      <c r="I113" s="89"/>
      <c r="J113" s="89"/>
      <c r="K113" s="89"/>
      <c r="L113" s="89"/>
      <c r="M113" s="84"/>
      <c r="N113" s="1"/>
      <c r="O113" s="1"/>
      <c r="P113" s="1"/>
      <c r="Q113" s="1"/>
      <c r="R113" s="84"/>
      <c r="S113" s="1"/>
      <c r="T113" s="1"/>
      <c r="U113" s="1"/>
    </row>
    <row r="114" spans="1:21" ht="19" customHeight="1" x14ac:dyDescent="0.3">
      <c r="A114" s="89"/>
      <c r="B114" s="90"/>
      <c r="C114" s="89"/>
      <c r="D114" s="89"/>
      <c r="E114" s="89"/>
      <c r="F114" s="89"/>
      <c r="G114" s="89"/>
      <c r="H114" s="89"/>
      <c r="I114" s="89"/>
      <c r="J114" s="89"/>
      <c r="K114" s="89"/>
      <c r="L114" s="89"/>
      <c r="M114" s="89"/>
      <c r="N114" s="89"/>
      <c r="O114" s="89"/>
      <c r="P114" s="90"/>
      <c r="Q114" s="1"/>
      <c r="R114" s="84"/>
      <c r="S114" s="84"/>
      <c r="T114" s="84"/>
      <c r="U114" s="84"/>
    </row>
    <row r="115" spans="1:21" ht="19" customHeight="1" x14ac:dyDescent="0.3">
      <c r="A115" s="89"/>
      <c r="B115" s="89"/>
      <c r="C115" s="89"/>
      <c r="D115" s="89"/>
      <c r="E115" s="89"/>
      <c r="F115" s="89"/>
      <c r="G115" s="89"/>
      <c r="H115" s="89"/>
      <c r="I115" s="89"/>
      <c r="J115" s="89"/>
      <c r="K115" s="89"/>
      <c r="L115" s="89"/>
      <c r="M115" s="89"/>
      <c r="N115" s="89"/>
      <c r="O115" s="89"/>
      <c r="P115" s="90"/>
      <c r="Q115" s="1"/>
      <c r="R115" s="84"/>
      <c r="S115" s="84"/>
      <c r="T115" s="84"/>
      <c r="U115" s="84"/>
    </row>
    <row r="116" spans="1:21" ht="19" customHeight="1" x14ac:dyDescent="0.3">
      <c r="A116" s="89"/>
      <c r="B116" s="89"/>
      <c r="C116" s="89"/>
      <c r="D116" s="89"/>
      <c r="E116" s="89"/>
      <c r="F116" s="89"/>
      <c r="G116" s="89"/>
      <c r="H116" s="89"/>
      <c r="I116" s="89"/>
      <c r="J116" s="89"/>
      <c r="K116" s="89"/>
      <c r="L116" s="89"/>
      <c r="M116" s="89"/>
      <c r="N116" s="89"/>
      <c r="O116" s="89"/>
      <c r="P116" s="90"/>
      <c r="Q116" s="1"/>
      <c r="R116" s="84"/>
      <c r="S116" s="84"/>
      <c r="T116" s="84"/>
      <c r="U116" s="84"/>
    </row>
    <row r="117" spans="1:21" ht="19" customHeight="1" x14ac:dyDescent="0.3">
      <c r="A117" s="89"/>
      <c r="B117" s="89"/>
      <c r="C117" s="89"/>
      <c r="D117" s="89"/>
      <c r="E117" s="89"/>
      <c r="F117" s="89"/>
      <c r="G117" s="89"/>
      <c r="H117" s="89"/>
      <c r="I117" s="89"/>
      <c r="J117" s="89"/>
      <c r="K117" s="89"/>
      <c r="L117" s="89"/>
    </row>
    <row r="118" spans="1:21" ht="19" customHeight="1" x14ac:dyDescent="0.3">
      <c r="G118" s="89"/>
      <c r="H118" s="89"/>
      <c r="I118" s="89"/>
      <c r="J118" s="89"/>
      <c r="K118" s="89"/>
      <c r="L118" s="89"/>
    </row>
    <row r="119" spans="1:21" ht="19" customHeight="1" x14ac:dyDescent="0.3">
      <c r="A119" s="93"/>
      <c r="B119" s="89"/>
      <c r="C119" s="89"/>
      <c r="D119" s="89"/>
      <c r="E119" s="89"/>
      <c r="F119" s="89"/>
      <c r="M119" s="84"/>
      <c r="N119" s="1"/>
      <c r="O119" s="1"/>
      <c r="P119" s="84"/>
    </row>
    <row r="120" spans="1:21" ht="19" customHeight="1" x14ac:dyDescent="0.3">
      <c r="M120" s="91"/>
      <c r="N120" s="1"/>
      <c r="O120" s="1"/>
      <c r="P120" s="84"/>
    </row>
    <row r="121" spans="1:21" ht="19" customHeight="1" x14ac:dyDescent="0.3">
      <c r="M121" s="91"/>
      <c r="N121" s="1"/>
      <c r="O121" s="1"/>
      <c r="P121" s="84"/>
    </row>
    <row r="122" spans="1:21" ht="19" customHeight="1" x14ac:dyDescent="0.3">
      <c r="M122" s="91"/>
      <c r="N122" s="1"/>
      <c r="O122" s="1"/>
      <c r="P122" s="84"/>
    </row>
    <row r="123" spans="1:21" ht="19" customHeight="1" x14ac:dyDescent="0.3">
      <c r="M123" s="91"/>
      <c r="N123" s="1"/>
      <c r="O123" s="1"/>
      <c r="P123" s="84"/>
    </row>
    <row r="124" spans="1:21" ht="19" customHeight="1" x14ac:dyDescent="0.3">
      <c r="M124" s="1"/>
      <c r="N124" s="1"/>
      <c r="O124" s="1"/>
      <c r="P124" s="1"/>
    </row>
    <row r="125" spans="1:21" ht="19" customHeight="1" x14ac:dyDescent="0.3">
      <c r="M125" s="84"/>
      <c r="N125" s="1"/>
      <c r="O125" s="1"/>
      <c r="P125" s="84"/>
    </row>
    <row r="126" spans="1:21" ht="19" customHeight="1" x14ac:dyDescent="0.3">
      <c r="M126" s="84"/>
      <c r="N126" s="1"/>
      <c r="O126" s="1"/>
      <c r="P126" s="84"/>
    </row>
    <row r="127" spans="1:21" ht="19" customHeight="1" x14ac:dyDescent="0.3">
      <c r="M127" s="84"/>
      <c r="N127" s="1"/>
      <c r="O127" s="1"/>
      <c r="P127" s="84"/>
    </row>
    <row r="128" spans="1:21" ht="19" customHeight="1" x14ac:dyDescent="0.3">
      <c r="M128" s="84"/>
      <c r="N128" s="1"/>
      <c r="O128" s="1"/>
      <c r="P128" s="84"/>
    </row>
    <row r="129" spans="13:16" ht="19" customHeight="1" x14ac:dyDescent="0.3">
      <c r="M129" s="84"/>
      <c r="N129" s="1"/>
      <c r="O129" s="1"/>
      <c r="P129" s="84"/>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F359-49F4-4C15-8528-CA24977D5432}">
  <sheetPr>
    <tabColor rgb="FFFFFFFF"/>
    <outlinePr summaryBelow="0" summaryRight="0"/>
  </sheetPr>
  <dimension ref="A1:AU206"/>
  <sheetViews>
    <sheetView workbookViewId="0"/>
  </sheetViews>
  <sheetFormatPr defaultColWidth="14" defaultRowHeight="13" x14ac:dyDescent="0.3"/>
  <cols>
    <col min="1" max="47" width="14" customWidth="1"/>
  </cols>
  <sheetData>
    <row r="1" spans="1:47" ht="19" customHeight="1" x14ac:dyDescent="0.3">
      <c r="A1" s="1"/>
      <c r="B1" s="1"/>
      <c r="C1" s="1"/>
      <c r="D1" s="84" t="s">
        <v>238</v>
      </c>
      <c r="E1" s="95" t="s">
        <v>164</v>
      </c>
      <c r="F1" s="95" t="s">
        <v>239</v>
      </c>
      <c r="G1" s="95" t="s">
        <v>240</v>
      </c>
      <c r="H1" s="84" t="s">
        <v>241</v>
      </c>
      <c r="I1" s="84" t="s">
        <v>242</v>
      </c>
      <c r="J1" s="84" t="s">
        <v>243</v>
      </c>
      <c r="K1" s="1"/>
      <c r="L1" s="84" t="s">
        <v>244</v>
      </c>
      <c r="M1" s="84" t="s">
        <v>245</v>
      </c>
      <c r="N1" s="84" t="s">
        <v>246</v>
      </c>
      <c r="O1" s="84" t="s">
        <v>247</v>
      </c>
      <c r="P1" s="84" t="s">
        <v>248</v>
      </c>
      <c r="Q1" s="84" t="s">
        <v>249</v>
      </c>
      <c r="R1" s="84" t="s">
        <v>250</v>
      </c>
      <c r="S1" s="84" t="s">
        <v>251</v>
      </c>
      <c r="T1" s="84" t="s">
        <v>252</v>
      </c>
      <c r="U1" s="84" t="s">
        <v>253</v>
      </c>
      <c r="V1" s="84" t="s">
        <v>254</v>
      </c>
      <c r="W1" s="84" t="s">
        <v>255</v>
      </c>
      <c r="X1" s="84" t="s">
        <v>256</v>
      </c>
      <c r="Y1" s="84" t="s">
        <v>257</v>
      </c>
      <c r="Z1" s="84" t="s">
        <v>258</v>
      </c>
      <c r="AA1" s="84" t="s">
        <v>259</v>
      </c>
      <c r="AB1" s="84" t="s">
        <v>260</v>
      </c>
      <c r="AC1" s="84" t="s">
        <v>261</v>
      </c>
      <c r="AD1" s="84" t="s">
        <v>262</v>
      </c>
      <c r="AE1" s="84" t="s">
        <v>263</v>
      </c>
      <c r="AF1" s="84" t="s">
        <v>264</v>
      </c>
      <c r="AG1" s="84" t="s">
        <v>265</v>
      </c>
      <c r="AH1" s="84" t="s">
        <v>266</v>
      </c>
      <c r="AI1" s="84" t="s">
        <v>267</v>
      </c>
      <c r="AJ1" s="84" t="s">
        <v>268</v>
      </c>
      <c r="AK1" s="84" t="s">
        <v>269</v>
      </c>
      <c r="AL1" s="84" t="s">
        <v>270</v>
      </c>
      <c r="AM1" s="84" t="s">
        <v>271</v>
      </c>
      <c r="AN1" s="84" t="s">
        <v>272</v>
      </c>
      <c r="AO1" s="84" t="s">
        <v>273</v>
      </c>
      <c r="AP1" s="84" t="s">
        <v>274</v>
      </c>
      <c r="AQ1" s="84" t="s">
        <v>275</v>
      </c>
      <c r="AR1" s="84" t="s">
        <v>276</v>
      </c>
      <c r="AS1" s="84" t="s">
        <v>277</v>
      </c>
      <c r="AT1" s="84" t="s">
        <v>278</v>
      </c>
      <c r="AU1" s="84" t="s">
        <v>279</v>
      </c>
    </row>
    <row r="2" spans="1:47" ht="19" customHeight="1" x14ac:dyDescent="0.3">
      <c r="A2" s="57" t="s">
        <v>133</v>
      </c>
      <c r="B2" s="57"/>
      <c r="C2" s="57"/>
      <c r="D2" s="89">
        <f>持有情况!G100-ROW()*0.00001</f>
        <v>218.99997999999999</v>
      </c>
      <c r="E2" s="89">
        <v>2</v>
      </c>
      <c r="F2" s="90">
        <v>0</v>
      </c>
      <c r="G2" s="89">
        <v>1</v>
      </c>
      <c r="H2" s="90">
        <v>0</v>
      </c>
      <c r="I2" s="1"/>
      <c r="J2" s="89">
        <f>INT(60+4*路线!B27+17*路线!B18+15*路线!B31+40)-ROW()*0.00001</f>
        <v>218.99997999999999</v>
      </c>
      <c r="K2" s="1"/>
      <c r="L2" s="84" t="str">
        <f t="shared" ref="L2:L33" si="0">IF(AND(OR(E2=1,E2=0),G2=1),D2,"")</f>
        <v/>
      </c>
      <c r="M2" s="84">
        <f t="shared" ref="M2:M33" si="1">IF(AND(OR(E2=2,E2=0),G2=1),D2,"")</f>
        <v>218.99997999999999</v>
      </c>
      <c r="N2" s="84" t="str">
        <f t="shared" ref="N2:N33" si="2">IF(AND(OR(E2=3,E2=0),G2=1),D2,"")</f>
        <v/>
      </c>
      <c r="O2" s="84" t="str">
        <f t="shared" ref="O2:O33" si="3">IF(AND(OR(E2=1,E2=0),G2=2),D2,"")</f>
        <v/>
      </c>
      <c r="P2" s="84" t="str">
        <f t="shared" ref="P2:P33" si="4">IF(AND(OR(E2=2,E2=0),G2=2),D2,"")</f>
        <v/>
      </c>
      <c r="Q2" s="84" t="str">
        <f t="shared" ref="Q2:Q33" si="5">IF(AND(OR(E2=3,E2=0),G2=2),D2,"")</f>
        <v/>
      </c>
      <c r="R2" s="84" t="str">
        <f t="shared" ref="R2:R33" si="6">IF(AND(OR(E2=1,E2=0),G2=3),D2,"")</f>
        <v/>
      </c>
      <c r="S2" s="84" t="str">
        <f t="shared" ref="S2:S33" si="7">IF(AND(OR(E2=2,E2=0),G2=3),D2,"")</f>
        <v/>
      </c>
      <c r="T2" s="84" t="str">
        <f t="shared" ref="T2:T33" si="8">IF(AND(OR(E2=3,E2=0),G2=3),D2,"")</f>
        <v/>
      </c>
      <c r="U2" s="84" t="str">
        <f t="shared" ref="U2:U33" si="9">IF(AND(OR(E2=1,E2=0),G2=1,F2=1),D2,"")</f>
        <v/>
      </c>
      <c r="V2" s="84" t="str">
        <f t="shared" ref="V2:V33" si="10">IF(AND(OR(E2=1,E2=0),G2=2,F2=1),D2,"")</f>
        <v/>
      </c>
      <c r="W2" s="84" t="str">
        <f t="shared" ref="W2:W33" si="11">IF(AND(OR(E2=1,E2=0),G2=3,F2=1),D2,"")</f>
        <v/>
      </c>
      <c r="X2" s="84" t="str">
        <f t="shared" ref="X2:X33" si="12">IF(AND(OR(E2=2,E2=0),G2=1,F2=1),D2,"")</f>
        <v/>
      </c>
      <c r="Y2" s="84" t="str">
        <f t="shared" ref="Y2:Y33" si="13">IF(AND(OR(E2=2,E2=0),G2=2,F2=1),D2,"")</f>
        <v/>
      </c>
      <c r="Z2" s="84" t="str">
        <f t="shared" ref="Z2:Z33" si="14">IF(AND(OR(E2=2,E2=0),G2=3,F2=1),D2,"")</f>
        <v/>
      </c>
      <c r="AA2" s="84" t="str">
        <f t="shared" ref="AA2:AA33" si="15">IF(AND(OR(E2=3,E2=0),G2=1,F2=1),D2,"")</f>
        <v/>
      </c>
      <c r="AB2" s="84" t="str">
        <f t="shared" ref="AB2:AB33" si="16">IF(AND(OR(E2=3,E2=0),G2=2,F2=1),D2,"")</f>
        <v/>
      </c>
      <c r="AC2" s="84" t="str">
        <f t="shared" ref="AC2:AC33" si="17">IF(AND(OR(E2=3,E2=0),G2=3,F2=1),D2,"")</f>
        <v/>
      </c>
      <c r="AD2" s="84" t="str">
        <f t="shared" ref="AD2:AD33" si="18">IF(AND(OR(E2=1,E2=0),G2=1,F2=0),J2,"")</f>
        <v/>
      </c>
      <c r="AE2" s="84" t="str">
        <f t="shared" ref="AE2:AE33" si="19">IF(AND(OR(E2=1,E2=0),G2=2,F2=0),J2,"")</f>
        <v/>
      </c>
      <c r="AF2" s="84" t="str">
        <f t="shared" ref="AF2:AF33" si="20">IF(AND(OR(E2=1,E2=0),G2=3,F2=0),J2,"")</f>
        <v/>
      </c>
      <c r="AG2" s="84" t="str">
        <f t="shared" ref="AG2:AG33" si="21">IF(AND(OR(E2=1,E2=0),G2=1,F2=1),J2,"")</f>
        <v/>
      </c>
      <c r="AH2" s="84" t="str">
        <f t="shared" ref="AH2:AH33" si="22">IF(AND(OR(E2=1,E2=0),G2=2,F2=1),J2,"")</f>
        <v/>
      </c>
      <c r="AI2" s="84" t="str">
        <f t="shared" ref="AI2:AI33" si="23">IF(AND(OR(E2=1,E2=0),G2=3,F2=1),J2,"")</f>
        <v/>
      </c>
      <c r="AJ2" s="84">
        <f t="shared" ref="AJ2:AJ33" si="24">IF(AND(OR(E2=2,E2=0),G2=1,F2=0),J2,"")</f>
        <v>218.99997999999999</v>
      </c>
      <c r="AK2" s="84" t="str">
        <f t="shared" ref="AK2:AK33" si="25">IF(AND(OR(E2=2,E2=0),G2=2,F2=0),J2,"")</f>
        <v/>
      </c>
      <c r="AL2" s="84" t="str">
        <f t="shared" ref="AL2:AL33" si="26">IF(AND(OR(E2=2,E2=0),G2=3,F2=0),J2,"")</f>
        <v/>
      </c>
      <c r="AM2" s="84" t="str">
        <f t="shared" ref="AM2:AM33" si="27">IF(AND(OR(E2=2,E2=0),G2=1,F2=1),J2,"")</f>
        <v/>
      </c>
      <c r="AN2" s="84" t="str">
        <f t="shared" ref="AN2:AN33" si="28">IF(AND(OR(E2=2,E2=0),G2=2,F2=1),J2,"")</f>
        <v/>
      </c>
      <c r="AO2" s="84" t="str">
        <f t="shared" ref="AO2:AO33" si="29">IF(AND(OR(E2=2,E2=0),G2=3,F2=1),J2,"")</f>
        <v/>
      </c>
      <c r="AP2" s="84" t="str">
        <f t="shared" ref="AP2:AP33" si="30">IF(AND(OR(E2=3,E2=0),G2=1,F2=0),J2,"")</f>
        <v/>
      </c>
      <c r="AQ2" s="84" t="str">
        <f t="shared" ref="AQ2:AQ33" si="31">IF(AND(OR(E2=3,E2=0),G2=2,F2=0),J2,"")</f>
        <v/>
      </c>
      <c r="AR2" s="84" t="str">
        <f t="shared" ref="AR2:AR33" si="32">IF(AND(OR(E2=3,E2=0),G2=3,F2=0),J2,"")</f>
        <v/>
      </c>
      <c r="AS2" s="84" t="str">
        <f t="shared" ref="AS2:AS33" si="33">IF(AND(OR(E2=3,E2=0),G2=1,F2=1),J2,"")</f>
        <v/>
      </c>
      <c r="AT2" s="84" t="str">
        <f t="shared" ref="AT2:AT33" si="34">IF(AND(OR(E2=3,E2=0),G2=2,F2=1),J2,"")</f>
        <v/>
      </c>
      <c r="AU2" s="84" t="str">
        <f t="shared" ref="AU2:AU33" si="35">IF(AND(OR(E2=3,E2=0),G2=3,F2=1),J2,"")</f>
        <v/>
      </c>
    </row>
    <row r="3" spans="1:47" ht="19" customHeight="1" x14ac:dyDescent="0.3">
      <c r="A3" s="75" t="s">
        <v>71</v>
      </c>
      <c r="B3" s="75"/>
      <c r="C3" s="75"/>
      <c r="D3" s="89">
        <f>持有情况!Q46-ROW()*0.00001</f>
        <v>214.99996999999999</v>
      </c>
      <c r="E3" s="89">
        <v>2</v>
      </c>
      <c r="F3" s="90">
        <v>0</v>
      </c>
      <c r="G3" s="89">
        <v>2</v>
      </c>
      <c r="H3" s="89">
        <v>1</v>
      </c>
      <c r="I3" s="84" t="s">
        <v>280</v>
      </c>
      <c r="J3" s="89">
        <f>INT((8.5/100)*路线!B12+9*路线!B29+17*路线!B18+7*路线!B30+40)-ROW()*0.00001</f>
        <v>214.99996999999999</v>
      </c>
      <c r="K3" s="1"/>
      <c r="L3" s="84" t="str">
        <f t="shared" si="0"/>
        <v/>
      </c>
      <c r="M3" s="84" t="str">
        <f t="shared" si="1"/>
        <v/>
      </c>
      <c r="N3" s="84" t="str">
        <f t="shared" si="2"/>
        <v/>
      </c>
      <c r="O3" s="84" t="str">
        <f t="shared" si="3"/>
        <v/>
      </c>
      <c r="P3" s="84">
        <f t="shared" si="4"/>
        <v>214.99996999999999</v>
      </c>
      <c r="Q3" s="84" t="str">
        <f t="shared" si="5"/>
        <v/>
      </c>
      <c r="R3" s="84" t="str">
        <f t="shared" si="6"/>
        <v/>
      </c>
      <c r="S3" s="84" t="str">
        <f t="shared" si="7"/>
        <v/>
      </c>
      <c r="T3" s="84" t="str">
        <f t="shared" si="8"/>
        <v/>
      </c>
      <c r="U3" s="84" t="str">
        <f t="shared" si="9"/>
        <v/>
      </c>
      <c r="V3" s="84" t="str">
        <f t="shared" si="10"/>
        <v/>
      </c>
      <c r="W3" s="84" t="str">
        <f t="shared" si="11"/>
        <v/>
      </c>
      <c r="X3" s="84" t="str">
        <f t="shared" si="12"/>
        <v/>
      </c>
      <c r="Y3" s="84" t="str">
        <f t="shared" si="13"/>
        <v/>
      </c>
      <c r="Z3" s="84" t="str">
        <f t="shared" si="14"/>
        <v/>
      </c>
      <c r="AA3" s="84" t="str">
        <f t="shared" si="15"/>
        <v/>
      </c>
      <c r="AB3" s="84" t="str">
        <f t="shared" si="16"/>
        <v/>
      </c>
      <c r="AC3" s="84" t="str">
        <f t="shared" si="17"/>
        <v/>
      </c>
      <c r="AD3" s="84" t="str">
        <f t="shared" si="18"/>
        <v/>
      </c>
      <c r="AE3" s="84" t="str">
        <f t="shared" si="19"/>
        <v/>
      </c>
      <c r="AF3" s="84" t="str">
        <f t="shared" si="20"/>
        <v/>
      </c>
      <c r="AG3" s="84" t="str">
        <f t="shared" si="21"/>
        <v/>
      </c>
      <c r="AH3" s="84" t="str">
        <f t="shared" si="22"/>
        <v/>
      </c>
      <c r="AI3" s="84" t="str">
        <f t="shared" si="23"/>
        <v/>
      </c>
      <c r="AJ3" s="84" t="str">
        <f t="shared" si="24"/>
        <v/>
      </c>
      <c r="AK3" s="84">
        <f t="shared" si="25"/>
        <v>214.99996999999999</v>
      </c>
      <c r="AL3" s="84" t="str">
        <f t="shared" si="26"/>
        <v/>
      </c>
      <c r="AM3" s="84" t="str">
        <f t="shared" si="27"/>
        <v/>
      </c>
      <c r="AN3" s="84" t="str">
        <f t="shared" si="28"/>
        <v/>
      </c>
      <c r="AO3" s="84" t="str">
        <f t="shared" si="29"/>
        <v/>
      </c>
      <c r="AP3" s="84" t="str">
        <f t="shared" si="30"/>
        <v/>
      </c>
      <c r="AQ3" s="84" t="str">
        <f t="shared" si="31"/>
        <v/>
      </c>
      <c r="AR3" s="84" t="str">
        <f t="shared" si="32"/>
        <v/>
      </c>
      <c r="AS3" s="84" t="str">
        <f t="shared" si="33"/>
        <v/>
      </c>
      <c r="AT3" s="84" t="str">
        <f t="shared" si="34"/>
        <v/>
      </c>
      <c r="AU3" s="84" t="str">
        <f t="shared" si="35"/>
        <v/>
      </c>
    </row>
    <row r="4" spans="1:47" ht="19" customHeight="1" x14ac:dyDescent="0.3">
      <c r="A4" s="75" t="s">
        <v>139</v>
      </c>
      <c r="B4" s="75"/>
      <c r="C4" s="75"/>
      <c r="D4" s="89">
        <f>持有情况!Q106-ROW()*0.00001</f>
        <v>306.99995999999999</v>
      </c>
      <c r="E4" s="89">
        <v>1</v>
      </c>
      <c r="F4" s="90">
        <v>0</v>
      </c>
      <c r="G4" s="89">
        <v>2</v>
      </c>
      <c r="H4" s="89">
        <v>1</v>
      </c>
      <c r="I4" s="84" t="s">
        <v>281</v>
      </c>
      <c r="J4" s="89">
        <f>INT((8.5/100)*路线!B12+11*路线!B35+17*路线!B18+7*路线!B30+40)-ROW()*0.00001</f>
        <v>306.99995999999999</v>
      </c>
      <c r="K4" s="1"/>
      <c r="L4" s="84" t="str">
        <f t="shared" si="0"/>
        <v/>
      </c>
      <c r="M4" s="84" t="str">
        <f t="shared" si="1"/>
        <v/>
      </c>
      <c r="N4" s="84" t="str">
        <f t="shared" si="2"/>
        <v/>
      </c>
      <c r="O4" s="84">
        <f t="shared" si="3"/>
        <v>306.99995999999999</v>
      </c>
      <c r="P4" s="84" t="str">
        <f t="shared" si="4"/>
        <v/>
      </c>
      <c r="Q4" s="84" t="str">
        <f t="shared" si="5"/>
        <v/>
      </c>
      <c r="R4" s="84" t="str">
        <f t="shared" si="6"/>
        <v/>
      </c>
      <c r="S4" s="84" t="str">
        <f t="shared" si="7"/>
        <v/>
      </c>
      <c r="T4" s="84" t="str">
        <f t="shared" si="8"/>
        <v/>
      </c>
      <c r="U4" s="84" t="str">
        <f t="shared" si="9"/>
        <v/>
      </c>
      <c r="V4" s="84" t="str">
        <f t="shared" si="10"/>
        <v/>
      </c>
      <c r="W4" s="84" t="str">
        <f t="shared" si="11"/>
        <v/>
      </c>
      <c r="X4" s="84" t="str">
        <f t="shared" si="12"/>
        <v/>
      </c>
      <c r="Y4" s="84" t="str">
        <f t="shared" si="13"/>
        <v/>
      </c>
      <c r="Z4" s="84" t="str">
        <f t="shared" si="14"/>
        <v/>
      </c>
      <c r="AA4" s="84" t="str">
        <f t="shared" si="15"/>
        <v/>
      </c>
      <c r="AB4" s="84" t="str">
        <f t="shared" si="16"/>
        <v/>
      </c>
      <c r="AC4" s="84" t="str">
        <f t="shared" si="17"/>
        <v/>
      </c>
      <c r="AD4" s="84" t="str">
        <f t="shared" si="18"/>
        <v/>
      </c>
      <c r="AE4" s="84">
        <f t="shared" si="19"/>
        <v>306.99995999999999</v>
      </c>
      <c r="AF4" s="84" t="str">
        <f t="shared" si="20"/>
        <v/>
      </c>
      <c r="AG4" s="84" t="str">
        <f t="shared" si="21"/>
        <v/>
      </c>
      <c r="AH4" s="84" t="str">
        <f t="shared" si="22"/>
        <v/>
      </c>
      <c r="AI4" s="84" t="str">
        <f t="shared" si="23"/>
        <v/>
      </c>
      <c r="AJ4" s="84" t="str">
        <f t="shared" si="24"/>
        <v/>
      </c>
      <c r="AK4" s="84" t="str">
        <f t="shared" si="25"/>
        <v/>
      </c>
      <c r="AL4" s="84" t="str">
        <f t="shared" si="26"/>
        <v/>
      </c>
      <c r="AM4" s="84" t="str">
        <f t="shared" si="27"/>
        <v/>
      </c>
      <c r="AN4" s="84" t="str">
        <f t="shared" si="28"/>
        <v/>
      </c>
      <c r="AO4" s="84" t="str">
        <f t="shared" si="29"/>
        <v/>
      </c>
      <c r="AP4" s="84" t="str">
        <f t="shared" si="30"/>
        <v/>
      </c>
      <c r="AQ4" s="84" t="str">
        <f t="shared" si="31"/>
        <v/>
      </c>
      <c r="AR4" s="84" t="str">
        <f t="shared" si="32"/>
        <v/>
      </c>
      <c r="AS4" s="84" t="str">
        <f t="shared" si="33"/>
        <v/>
      </c>
      <c r="AT4" s="84" t="str">
        <f t="shared" si="34"/>
        <v/>
      </c>
      <c r="AU4" s="84" t="str">
        <f t="shared" si="35"/>
        <v/>
      </c>
    </row>
    <row r="5" spans="1:47" ht="19" customHeight="1" x14ac:dyDescent="0.3">
      <c r="A5" s="75" t="s">
        <v>86</v>
      </c>
      <c r="B5" s="75"/>
      <c r="C5" s="75"/>
      <c r="D5" s="89">
        <f>持有情况!Q58-ROW()*0.00001</f>
        <v>147.99995000000001</v>
      </c>
      <c r="E5" s="89">
        <v>2</v>
      </c>
      <c r="F5" s="90">
        <v>0</v>
      </c>
      <c r="G5" s="89">
        <v>2</v>
      </c>
      <c r="H5" s="89">
        <v>1</v>
      </c>
      <c r="I5" s="84" t="s">
        <v>282</v>
      </c>
      <c r="J5" s="89">
        <f>INT((8.5/100)*路线!B12+17*路线!B18+15*路线!B31+40)-ROW()*0.00001</f>
        <v>147.99995000000001</v>
      </c>
      <c r="K5" s="1"/>
      <c r="L5" s="84" t="str">
        <f t="shared" si="0"/>
        <v/>
      </c>
      <c r="M5" s="84" t="str">
        <f t="shared" si="1"/>
        <v/>
      </c>
      <c r="N5" s="84" t="str">
        <f t="shared" si="2"/>
        <v/>
      </c>
      <c r="O5" s="84" t="str">
        <f t="shared" si="3"/>
        <v/>
      </c>
      <c r="P5" s="84">
        <f t="shared" si="4"/>
        <v>147.99995000000001</v>
      </c>
      <c r="Q5" s="84" t="str">
        <f t="shared" si="5"/>
        <v/>
      </c>
      <c r="R5" s="84" t="str">
        <f t="shared" si="6"/>
        <v/>
      </c>
      <c r="S5" s="84" t="str">
        <f t="shared" si="7"/>
        <v/>
      </c>
      <c r="T5" s="84" t="str">
        <f t="shared" si="8"/>
        <v/>
      </c>
      <c r="U5" s="84" t="str">
        <f t="shared" si="9"/>
        <v/>
      </c>
      <c r="V5" s="84" t="str">
        <f t="shared" si="10"/>
        <v/>
      </c>
      <c r="W5" s="84" t="str">
        <f t="shared" si="11"/>
        <v/>
      </c>
      <c r="X5" s="84" t="str">
        <f t="shared" si="12"/>
        <v/>
      </c>
      <c r="Y5" s="84" t="str">
        <f t="shared" si="13"/>
        <v/>
      </c>
      <c r="Z5" s="84" t="str">
        <f t="shared" si="14"/>
        <v/>
      </c>
      <c r="AA5" s="84" t="str">
        <f t="shared" si="15"/>
        <v/>
      </c>
      <c r="AB5" s="84" t="str">
        <f t="shared" si="16"/>
        <v/>
      </c>
      <c r="AC5" s="84" t="str">
        <f t="shared" si="17"/>
        <v/>
      </c>
      <c r="AD5" s="84" t="str">
        <f t="shared" si="18"/>
        <v/>
      </c>
      <c r="AE5" s="84" t="str">
        <f t="shared" si="19"/>
        <v/>
      </c>
      <c r="AF5" s="84" t="str">
        <f t="shared" si="20"/>
        <v/>
      </c>
      <c r="AG5" s="84" t="str">
        <f t="shared" si="21"/>
        <v/>
      </c>
      <c r="AH5" s="84" t="str">
        <f t="shared" si="22"/>
        <v/>
      </c>
      <c r="AI5" s="84" t="str">
        <f t="shared" si="23"/>
        <v/>
      </c>
      <c r="AJ5" s="84" t="str">
        <f t="shared" si="24"/>
        <v/>
      </c>
      <c r="AK5" s="84">
        <f t="shared" si="25"/>
        <v>147.99995000000001</v>
      </c>
      <c r="AL5" s="84" t="str">
        <f t="shared" si="26"/>
        <v/>
      </c>
      <c r="AM5" s="84" t="str">
        <f t="shared" si="27"/>
        <v/>
      </c>
      <c r="AN5" s="84" t="str">
        <f t="shared" si="28"/>
        <v/>
      </c>
      <c r="AO5" s="84" t="str">
        <f t="shared" si="29"/>
        <v/>
      </c>
      <c r="AP5" s="84" t="str">
        <f t="shared" si="30"/>
        <v/>
      </c>
      <c r="AQ5" s="84" t="str">
        <f t="shared" si="31"/>
        <v/>
      </c>
      <c r="AR5" s="84" t="str">
        <f t="shared" si="32"/>
        <v/>
      </c>
      <c r="AS5" s="84" t="str">
        <f t="shared" si="33"/>
        <v/>
      </c>
      <c r="AT5" s="84" t="str">
        <f t="shared" si="34"/>
        <v/>
      </c>
      <c r="AU5" s="84" t="str">
        <f t="shared" si="35"/>
        <v/>
      </c>
    </row>
    <row r="6" spans="1:47" ht="19" customHeight="1" x14ac:dyDescent="0.3">
      <c r="A6" s="75" t="s">
        <v>143</v>
      </c>
      <c r="B6" s="75"/>
      <c r="C6" s="75"/>
      <c r="D6" s="89">
        <f>IF(路线!B4="计算",持有情况!S113,持有情况!Q112)-ROW()*0.00001</f>
        <v>253.99994000000001</v>
      </c>
      <c r="E6" s="90">
        <v>0</v>
      </c>
      <c r="F6" s="90">
        <v>0</v>
      </c>
      <c r="G6" s="89">
        <v>2</v>
      </c>
      <c r="H6" s="89">
        <v>1</v>
      </c>
      <c r="I6" s="1"/>
      <c r="J6" s="89">
        <f>IF(路线!B4="计算",INT(60+22+21*IF(路线!B38&lt;=3,路线!B38,3)+7*路线!B30+40+20),INT(60+22+21*IF(路线!B38&lt;=3,路线!B38,3)+7*路线!B30+40))-ROW()*0.00001</f>
        <v>253.99994000000001</v>
      </c>
      <c r="K6" s="1"/>
      <c r="L6" s="84" t="str">
        <f t="shared" si="0"/>
        <v/>
      </c>
      <c r="M6" s="84" t="str">
        <f t="shared" si="1"/>
        <v/>
      </c>
      <c r="N6" s="84" t="str">
        <f t="shared" si="2"/>
        <v/>
      </c>
      <c r="O6" s="84">
        <f t="shared" si="3"/>
        <v>253.99994000000001</v>
      </c>
      <c r="P6" s="84">
        <f t="shared" si="4"/>
        <v>253.99994000000001</v>
      </c>
      <c r="Q6" s="84">
        <f t="shared" si="5"/>
        <v>253.99994000000001</v>
      </c>
      <c r="R6" s="84" t="str">
        <f t="shared" si="6"/>
        <v/>
      </c>
      <c r="S6" s="84" t="str">
        <f t="shared" si="7"/>
        <v/>
      </c>
      <c r="T6" s="84" t="str">
        <f t="shared" si="8"/>
        <v/>
      </c>
      <c r="U6" s="84" t="str">
        <f t="shared" si="9"/>
        <v/>
      </c>
      <c r="V6" s="84" t="str">
        <f t="shared" si="10"/>
        <v/>
      </c>
      <c r="W6" s="84" t="str">
        <f t="shared" si="11"/>
        <v/>
      </c>
      <c r="X6" s="84" t="str">
        <f t="shared" si="12"/>
        <v/>
      </c>
      <c r="Y6" s="84" t="str">
        <f t="shared" si="13"/>
        <v/>
      </c>
      <c r="Z6" s="84" t="str">
        <f t="shared" si="14"/>
        <v/>
      </c>
      <c r="AA6" s="84" t="str">
        <f t="shared" si="15"/>
        <v/>
      </c>
      <c r="AB6" s="84" t="str">
        <f t="shared" si="16"/>
        <v/>
      </c>
      <c r="AC6" s="84" t="str">
        <f t="shared" si="17"/>
        <v/>
      </c>
      <c r="AD6" s="84" t="str">
        <f t="shared" si="18"/>
        <v/>
      </c>
      <c r="AE6" s="84">
        <f t="shared" si="19"/>
        <v>253.99994000000001</v>
      </c>
      <c r="AF6" s="84" t="str">
        <f t="shared" si="20"/>
        <v/>
      </c>
      <c r="AG6" s="84" t="str">
        <f t="shared" si="21"/>
        <v/>
      </c>
      <c r="AH6" s="84" t="str">
        <f t="shared" si="22"/>
        <v/>
      </c>
      <c r="AI6" s="84" t="str">
        <f t="shared" si="23"/>
        <v/>
      </c>
      <c r="AJ6" s="84" t="str">
        <f t="shared" si="24"/>
        <v/>
      </c>
      <c r="AK6" s="84">
        <f t="shared" si="25"/>
        <v>253.99994000000001</v>
      </c>
      <c r="AL6" s="84" t="str">
        <f t="shared" si="26"/>
        <v/>
      </c>
      <c r="AM6" s="84" t="str">
        <f t="shared" si="27"/>
        <v/>
      </c>
      <c r="AN6" s="84" t="str">
        <f t="shared" si="28"/>
        <v/>
      </c>
      <c r="AO6" s="84" t="str">
        <f t="shared" si="29"/>
        <v/>
      </c>
      <c r="AP6" s="84" t="str">
        <f t="shared" si="30"/>
        <v/>
      </c>
      <c r="AQ6" s="84">
        <f t="shared" si="31"/>
        <v>253.99994000000001</v>
      </c>
      <c r="AR6" s="84" t="str">
        <f t="shared" si="32"/>
        <v/>
      </c>
      <c r="AS6" s="84" t="str">
        <f t="shared" si="33"/>
        <v/>
      </c>
      <c r="AT6" s="84" t="str">
        <f t="shared" si="34"/>
        <v/>
      </c>
      <c r="AU6" s="84" t="str">
        <f t="shared" si="35"/>
        <v/>
      </c>
    </row>
    <row r="7" spans="1:47" ht="19" customHeight="1" x14ac:dyDescent="0.3">
      <c r="A7" s="57" t="s">
        <v>91</v>
      </c>
      <c r="B7" s="57"/>
      <c r="C7" s="57"/>
      <c r="D7" s="89">
        <f>持有情况!G64-ROW()*0.00001</f>
        <v>212.99993000000001</v>
      </c>
      <c r="E7" s="90">
        <v>0</v>
      </c>
      <c r="F7" s="90">
        <v>0</v>
      </c>
      <c r="G7" s="89">
        <v>1</v>
      </c>
      <c r="H7" s="89">
        <v>1</v>
      </c>
      <c r="I7" s="84" t="s">
        <v>283</v>
      </c>
      <c r="J7" s="89">
        <f>INT((8.5/100)*路线!B12+7*路线!B30+4*(路线!B28+路线!B29)+17*路线!B18+40)-ROW()*0.00001</f>
        <v>212.99993000000001</v>
      </c>
      <c r="K7" s="1"/>
      <c r="L7" s="84">
        <f t="shared" si="0"/>
        <v>212.99993000000001</v>
      </c>
      <c r="M7" s="84">
        <f t="shared" si="1"/>
        <v>212.99993000000001</v>
      </c>
      <c r="N7" s="84">
        <f t="shared" si="2"/>
        <v>212.99993000000001</v>
      </c>
      <c r="O7" s="84" t="str">
        <f t="shared" si="3"/>
        <v/>
      </c>
      <c r="P7" s="84" t="str">
        <f t="shared" si="4"/>
        <v/>
      </c>
      <c r="Q7" s="84" t="str">
        <f t="shared" si="5"/>
        <v/>
      </c>
      <c r="R7" s="84" t="str">
        <f t="shared" si="6"/>
        <v/>
      </c>
      <c r="S7" s="84" t="str">
        <f t="shared" si="7"/>
        <v/>
      </c>
      <c r="T7" s="84" t="str">
        <f t="shared" si="8"/>
        <v/>
      </c>
      <c r="U7" s="84" t="str">
        <f t="shared" si="9"/>
        <v/>
      </c>
      <c r="V7" s="84" t="str">
        <f t="shared" si="10"/>
        <v/>
      </c>
      <c r="W7" s="84" t="str">
        <f t="shared" si="11"/>
        <v/>
      </c>
      <c r="X7" s="84" t="str">
        <f t="shared" si="12"/>
        <v/>
      </c>
      <c r="Y7" s="84" t="str">
        <f t="shared" si="13"/>
        <v/>
      </c>
      <c r="Z7" s="84" t="str">
        <f t="shared" si="14"/>
        <v/>
      </c>
      <c r="AA7" s="84" t="str">
        <f t="shared" si="15"/>
        <v/>
      </c>
      <c r="AB7" s="84" t="str">
        <f t="shared" si="16"/>
        <v/>
      </c>
      <c r="AC7" s="84" t="str">
        <f t="shared" si="17"/>
        <v/>
      </c>
      <c r="AD7" s="84">
        <f t="shared" si="18"/>
        <v>212.99993000000001</v>
      </c>
      <c r="AE7" s="84" t="str">
        <f t="shared" si="19"/>
        <v/>
      </c>
      <c r="AF7" s="84" t="str">
        <f t="shared" si="20"/>
        <v/>
      </c>
      <c r="AG7" s="84" t="str">
        <f t="shared" si="21"/>
        <v/>
      </c>
      <c r="AH7" s="84" t="str">
        <f t="shared" si="22"/>
        <v/>
      </c>
      <c r="AI7" s="84" t="str">
        <f t="shared" si="23"/>
        <v/>
      </c>
      <c r="AJ7" s="84">
        <f t="shared" si="24"/>
        <v>212.99993000000001</v>
      </c>
      <c r="AK7" s="84" t="str">
        <f t="shared" si="25"/>
        <v/>
      </c>
      <c r="AL7" s="84" t="str">
        <f t="shared" si="26"/>
        <v/>
      </c>
      <c r="AM7" s="84" t="str">
        <f t="shared" si="27"/>
        <v/>
      </c>
      <c r="AN7" s="84" t="str">
        <f t="shared" si="28"/>
        <v/>
      </c>
      <c r="AO7" s="84" t="str">
        <f t="shared" si="29"/>
        <v/>
      </c>
      <c r="AP7" s="84">
        <f t="shared" si="30"/>
        <v>212.99993000000001</v>
      </c>
      <c r="AQ7" s="84" t="str">
        <f t="shared" si="31"/>
        <v/>
      </c>
      <c r="AR7" s="84" t="str">
        <f t="shared" si="32"/>
        <v/>
      </c>
      <c r="AS7" s="84" t="str">
        <f t="shared" si="33"/>
        <v/>
      </c>
      <c r="AT7" s="84" t="str">
        <f t="shared" si="34"/>
        <v/>
      </c>
      <c r="AU7" s="84" t="str">
        <f t="shared" si="35"/>
        <v/>
      </c>
    </row>
    <row r="8" spans="1:47" ht="19" customHeight="1" x14ac:dyDescent="0.3">
      <c r="A8" s="67" t="s">
        <v>108</v>
      </c>
      <c r="B8" s="67"/>
      <c r="C8" s="67"/>
      <c r="D8" s="89">
        <f>持有情况!AA76-ROW()*0.00001</f>
        <v>232.99992</v>
      </c>
      <c r="E8" s="90">
        <v>0</v>
      </c>
      <c r="F8" s="90">
        <v>0</v>
      </c>
      <c r="G8" s="89">
        <v>3</v>
      </c>
      <c r="H8" s="89">
        <v>1</v>
      </c>
      <c r="I8" s="84" t="s">
        <v>284</v>
      </c>
      <c r="J8" s="89">
        <f>IF(路线!C6="计算",INT((8.5/100)*路线!B12+7*路线!B30+4*(路线!B28+路线!B29)+17*路线!B18+40+20)-ROW()*0.00001,INT((8.5/100)*路线!B12+7*路线!B30+4*(路线!B28+路线!B29)+17*路线!B18+40)-ROW()*0.00001)</f>
        <v>232.99992</v>
      </c>
      <c r="K8" s="1"/>
      <c r="L8" s="84" t="str">
        <f t="shared" si="0"/>
        <v/>
      </c>
      <c r="M8" s="84" t="str">
        <f t="shared" si="1"/>
        <v/>
      </c>
      <c r="N8" s="84" t="str">
        <f t="shared" si="2"/>
        <v/>
      </c>
      <c r="O8" s="84" t="str">
        <f t="shared" si="3"/>
        <v/>
      </c>
      <c r="P8" s="84" t="str">
        <f t="shared" si="4"/>
        <v/>
      </c>
      <c r="Q8" s="84" t="str">
        <f t="shared" si="5"/>
        <v/>
      </c>
      <c r="R8" s="84">
        <f t="shared" si="6"/>
        <v>232.99992</v>
      </c>
      <c r="S8" s="84">
        <f t="shared" si="7"/>
        <v>232.99992</v>
      </c>
      <c r="T8" s="84">
        <f t="shared" si="8"/>
        <v>232.99992</v>
      </c>
      <c r="U8" s="84" t="str">
        <f t="shared" si="9"/>
        <v/>
      </c>
      <c r="V8" s="84" t="str">
        <f t="shared" si="10"/>
        <v/>
      </c>
      <c r="W8" s="84" t="str">
        <f t="shared" si="11"/>
        <v/>
      </c>
      <c r="X8" s="84" t="str">
        <f t="shared" si="12"/>
        <v/>
      </c>
      <c r="Y8" s="84" t="str">
        <f t="shared" si="13"/>
        <v/>
      </c>
      <c r="Z8" s="84" t="str">
        <f t="shared" si="14"/>
        <v/>
      </c>
      <c r="AA8" s="84" t="str">
        <f t="shared" si="15"/>
        <v/>
      </c>
      <c r="AB8" s="84" t="str">
        <f t="shared" si="16"/>
        <v/>
      </c>
      <c r="AC8" s="84" t="str">
        <f t="shared" si="17"/>
        <v/>
      </c>
      <c r="AD8" s="84" t="str">
        <f t="shared" si="18"/>
        <v/>
      </c>
      <c r="AE8" s="84" t="str">
        <f t="shared" si="19"/>
        <v/>
      </c>
      <c r="AF8" s="84">
        <f t="shared" si="20"/>
        <v>232.99992</v>
      </c>
      <c r="AG8" s="84" t="str">
        <f t="shared" si="21"/>
        <v/>
      </c>
      <c r="AH8" s="84" t="str">
        <f t="shared" si="22"/>
        <v/>
      </c>
      <c r="AI8" s="84" t="str">
        <f t="shared" si="23"/>
        <v/>
      </c>
      <c r="AJ8" s="84" t="str">
        <f t="shared" si="24"/>
        <v/>
      </c>
      <c r="AK8" s="84" t="str">
        <f t="shared" si="25"/>
        <v/>
      </c>
      <c r="AL8" s="84">
        <f t="shared" si="26"/>
        <v>232.99992</v>
      </c>
      <c r="AM8" s="84" t="str">
        <f t="shared" si="27"/>
        <v/>
      </c>
      <c r="AN8" s="84" t="str">
        <f t="shared" si="28"/>
        <v/>
      </c>
      <c r="AO8" s="84" t="str">
        <f t="shared" si="29"/>
        <v/>
      </c>
      <c r="AP8" s="84" t="str">
        <f t="shared" si="30"/>
        <v/>
      </c>
      <c r="AQ8" s="84" t="str">
        <f t="shared" si="31"/>
        <v/>
      </c>
      <c r="AR8" s="84">
        <f t="shared" si="32"/>
        <v>232.99992</v>
      </c>
      <c r="AS8" s="84" t="str">
        <f t="shared" si="33"/>
        <v/>
      </c>
      <c r="AT8" s="84" t="str">
        <f t="shared" si="34"/>
        <v/>
      </c>
      <c r="AU8" s="84" t="str">
        <f t="shared" si="35"/>
        <v/>
      </c>
    </row>
    <row r="9" spans="1:47" ht="19" customHeight="1" x14ac:dyDescent="0.3">
      <c r="A9" s="67" t="s">
        <v>140</v>
      </c>
      <c r="B9" s="67"/>
      <c r="C9" s="67"/>
      <c r="D9" s="89">
        <f>持有情况!AA106-ROW()*0.00001</f>
        <v>236.99991</v>
      </c>
      <c r="E9" s="89">
        <v>3</v>
      </c>
      <c r="F9" s="89">
        <v>1</v>
      </c>
      <c r="G9" s="89">
        <v>3</v>
      </c>
      <c r="H9" s="89">
        <v>1</v>
      </c>
      <c r="I9" s="84" t="s">
        <v>285</v>
      </c>
      <c r="J9" s="89">
        <f>IF(路线!C6="计算",INT(60+17*路线!B18+22*IF(路线!B36&lt;=3,路线!B36,3)+40+20)-ROW()*0.00001,INT(60+17*路线!B18+22*IF(路线!B36&lt;=3,路线!B36,3)+40)-ROW()*0.00001)</f>
        <v>236.99991</v>
      </c>
      <c r="K9" s="1"/>
      <c r="L9" s="84" t="str">
        <f t="shared" si="0"/>
        <v/>
      </c>
      <c r="M9" s="84" t="str">
        <f t="shared" si="1"/>
        <v/>
      </c>
      <c r="N9" s="84" t="str">
        <f t="shared" si="2"/>
        <v/>
      </c>
      <c r="O9" s="84" t="str">
        <f t="shared" si="3"/>
        <v/>
      </c>
      <c r="P9" s="84" t="str">
        <f t="shared" si="4"/>
        <v/>
      </c>
      <c r="Q9" s="84" t="str">
        <f t="shared" si="5"/>
        <v/>
      </c>
      <c r="R9" s="84" t="str">
        <f t="shared" si="6"/>
        <v/>
      </c>
      <c r="S9" s="84" t="str">
        <f t="shared" si="7"/>
        <v/>
      </c>
      <c r="T9" s="84">
        <f t="shared" si="8"/>
        <v>236.99991</v>
      </c>
      <c r="U9" s="84" t="str">
        <f t="shared" si="9"/>
        <v/>
      </c>
      <c r="V9" s="84" t="str">
        <f t="shared" si="10"/>
        <v/>
      </c>
      <c r="W9" s="84" t="str">
        <f t="shared" si="11"/>
        <v/>
      </c>
      <c r="X9" s="84" t="str">
        <f t="shared" si="12"/>
        <v/>
      </c>
      <c r="Y9" s="84" t="str">
        <f t="shared" si="13"/>
        <v/>
      </c>
      <c r="Z9" s="84" t="str">
        <f t="shared" si="14"/>
        <v/>
      </c>
      <c r="AA9" s="84" t="str">
        <f t="shared" si="15"/>
        <v/>
      </c>
      <c r="AB9" s="84" t="str">
        <f t="shared" si="16"/>
        <v/>
      </c>
      <c r="AC9" s="84">
        <f t="shared" si="17"/>
        <v>236.99991</v>
      </c>
      <c r="AD9" s="84" t="str">
        <f t="shared" si="18"/>
        <v/>
      </c>
      <c r="AE9" s="84" t="str">
        <f t="shared" si="19"/>
        <v/>
      </c>
      <c r="AF9" s="84" t="str">
        <f t="shared" si="20"/>
        <v/>
      </c>
      <c r="AG9" s="84" t="str">
        <f t="shared" si="21"/>
        <v/>
      </c>
      <c r="AH9" s="84" t="str">
        <f t="shared" si="22"/>
        <v/>
      </c>
      <c r="AI9" s="84" t="str">
        <f t="shared" si="23"/>
        <v/>
      </c>
      <c r="AJ9" s="84" t="str">
        <f t="shared" si="24"/>
        <v/>
      </c>
      <c r="AK9" s="84" t="str">
        <f t="shared" si="25"/>
        <v/>
      </c>
      <c r="AL9" s="84" t="str">
        <f t="shared" si="26"/>
        <v/>
      </c>
      <c r="AM9" s="84" t="str">
        <f t="shared" si="27"/>
        <v/>
      </c>
      <c r="AN9" s="84" t="str">
        <f t="shared" si="28"/>
        <v/>
      </c>
      <c r="AO9" s="84" t="str">
        <f t="shared" si="29"/>
        <v/>
      </c>
      <c r="AP9" s="84" t="str">
        <f t="shared" si="30"/>
        <v/>
      </c>
      <c r="AQ9" s="84" t="str">
        <f t="shared" si="31"/>
        <v/>
      </c>
      <c r="AR9" s="84" t="str">
        <f t="shared" si="32"/>
        <v/>
      </c>
      <c r="AS9" s="84" t="str">
        <f t="shared" si="33"/>
        <v/>
      </c>
      <c r="AT9" s="84" t="str">
        <f t="shared" si="34"/>
        <v/>
      </c>
      <c r="AU9" s="84">
        <f t="shared" si="35"/>
        <v>236.99991</v>
      </c>
    </row>
    <row r="10" spans="1:47" ht="19" customHeight="1" x14ac:dyDescent="0.3">
      <c r="A10" s="70" t="s">
        <v>106</v>
      </c>
      <c r="B10" s="57"/>
      <c r="C10" s="57"/>
      <c r="D10" s="89">
        <f>持有情况!G76-ROW()*0.00001</f>
        <v>216.9999</v>
      </c>
      <c r="E10" s="89">
        <v>1</v>
      </c>
      <c r="F10" s="89">
        <v>1</v>
      </c>
      <c r="G10" s="89">
        <v>1</v>
      </c>
      <c r="H10" s="89">
        <v>1</v>
      </c>
      <c r="I10" s="84" t="s">
        <v>286</v>
      </c>
      <c r="J10" s="89">
        <f>IF(路线!C6="计算",INT((8.5/100)*路线!B12+17*路线!B18+7*路线!B30+40+20)-ROW()*0.00001,INT((8.5/100)*路线!B12+17*路线!B18+7*路线!B30+40)-ROW()*0.00001)</f>
        <v>216.9999</v>
      </c>
      <c r="K10" s="1"/>
      <c r="L10" s="84">
        <f t="shared" si="0"/>
        <v>216.9999</v>
      </c>
      <c r="M10" s="84" t="str">
        <f t="shared" si="1"/>
        <v/>
      </c>
      <c r="N10" s="84" t="str">
        <f t="shared" si="2"/>
        <v/>
      </c>
      <c r="O10" s="84" t="str">
        <f t="shared" si="3"/>
        <v/>
      </c>
      <c r="P10" s="84" t="str">
        <f t="shared" si="4"/>
        <v/>
      </c>
      <c r="Q10" s="84" t="str">
        <f t="shared" si="5"/>
        <v/>
      </c>
      <c r="R10" s="84" t="str">
        <f t="shared" si="6"/>
        <v/>
      </c>
      <c r="S10" s="84" t="str">
        <f t="shared" si="7"/>
        <v/>
      </c>
      <c r="T10" s="84" t="str">
        <f t="shared" si="8"/>
        <v/>
      </c>
      <c r="U10" s="84">
        <f t="shared" si="9"/>
        <v>216.9999</v>
      </c>
      <c r="V10" s="84" t="str">
        <f t="shared" si="10"/>
        <v/>
      </c>
      <c r="W10" s="84" t="str">
        <f t="shared" si="11"/>
        <v/>
      </c>
      <c r="X10" s="84" t="str">
        <f t="shared" si="12"/>
        <v/>
      </c>
      <c r="Y10" s="84" t="str">
        <f t="shared" si="13"/>
        <v/>
      </c>
      <c r="Z10" s="84" t="str">
        <f t="shared" si="14"/>
        <v/>
      </c>
      <c r="AA10" s="84" t="str">
        <f t="shared" si="15"/>
        <v/>
      </c>
      <c r="AB10" s="84" t="str">
        <f t="shared" si="16"/>
        <v/>
      </c>
      <c r="AC10" s="84" t="str">
        <f t="shared" si="17"/>
        <v/>
      </c>
      <c r="AD10" s="84" t="str">
        <f t="shared" si="18"/>
        <v/>
      </c>
      <c r="AE10" s="84" t="str">
        <f t="shared" si="19"/>
        <v/>
      </c>
      <c r="AF10" s="84" t="str">
        <f t="shared" si="20"/>
        <v/>
      </c>
      <c r="AG10" s="84">
        <f t="shared" si="21"/>
        <v>216.9999</v>
      </c>
      <c r="AH10" s="84" t="str">
        <f t="shared" si="22"/>
        <v/>
      </c>
      <c r="AI10" s="84" t="str">
        <f t="shared" si="23"/>
        <v/>
      </c>
      <c r="AJ10" s="84" t="str">
        <f t="shared" si="24"/>
        <v/>
      </c>
      <c r="AK10" s="84" t="str">
        <f t="shared" si="25"/>
        <v/>
      </c>
      <c r="AL10" s="84" t="str">
        <f t="shared" si="26"/>
        <v/>
      </c>
      <c r="AM10" s="84" t="str">
        <f t="shared" si="27"/>
        <v/>
      </c>
      <c r="AN10" s="84" t="str">
        <f t="shared" si="28"/>
        <v/>
      </c>
      <c r="AO10" s="84" t="str">
        <f t="shared" si="29"/>
        <v/>
      </c>
      <c r="AP10" s="84" t="str">
        <f t="shared" si="30"/>
        <v/>
      </c>
      <c r="AQ10" s="84" t="str">
        <f t="shared" si="31"/>
        <v/>
      </c>
      <c r="AR10" s="84" t="str">
        <f t="shared" si="32"/>
        <v/>
      </c>
      <c r="AS10" s="84" t="str">
        <f t="shared" si="33"/>
        <v/>
      </c>
      <c r="AT10" s="84" t="str">
        <f t="shared" si="34"/>
        <v/>
      </c>
      <c r="AU10" s="84" t="str">
        <f t="shared" si="35"/>
        <v/>
      </c>
    </row>
    <row r="11" spans="1:47" ht="19" customHeight="1" x14ac:dyDescent="0.3">
      <c r="A11" s="75" t="s">
        <v>121</v>
      </c>
      <c r="B11" s="75"/>
      <c r="C11" s="75"/>
      <c r="D11" s="89">
        <f>持有情况!Q88-ROW()*0.00001</f>
        <v>196.99988999999999</v>
      </c>
      <c r="E11" s="90">
        <v>0</v>
      </c>
      <c r="F11" s="90">
        <v>0</v>
      </c>
      <c r="G11" s="89">
        <v>2</v>
      </c>
      <c r="H11" s="90">
        <v>0</v>
      </c>
      <c r="I11" s="1"/>
      <c r="J11" s="89">
        <f>INT((8.5/100)*路线!B12+17*路线!B18+7*路线!B30+40)-ROW()*0.00001</f>
        <v>196.99988999999999</v>
      </c>
      <c r="K11" s="1"/>
      <c r="L11" s="84" t="str">
        <f t="shared" si="0"/>
        <v/>
      </c>
      <c r="M11" s="84" t="str">
        <f t="shared" si="1"/>
        <v/>
      </c>
      <c r="N11" s="84" t="str">
        <f t="shared" si="2"/>
        <v/>
      </c>
      <c r="O11" s="84">
        <f t="shared" si="3"/>
        <v>196.99988999999999</v>
      </c>
      <c r="P11" s="84">
        <f t="shared" si="4"/>
        <v>196.99988999999999</v>
      </c>
      <c r="Q11" s="84">
        <f t="shared" si="5"/>
        <v>196.99988999999999</v>
      </c>
      <c r="R11" s="84" t="str">
        <f t="shared" si="6"/>
        <v/>
      </c>
      <c r="S11" s="84" t="str">
        <f t="shared" si="7"/>
        <v/>
      </c>
      <c r="T11" s="84" t="str">
        <f t="shared" si="8"/>
        <v/>
      </c>
      <c r="U11" s="84" t="str">
        <f t="shared" si="9"/>
        <v/>
      </c>
      <c r="V11" s="84" t="str">
        <f t="shared" si="10"/>
        <v/>
      </c>
      <c r="W11" s="84" t="str">
        <f t="shared" si="11"/>
        <v/>
      </c>
      <c r="X11" s="84" t="str">
        <f t="shared" si="12"/>
        <v/>
      </c>
      <c r="Y11" s="84" t="str">
        <f t="shared" si="13"/>
        <v/>
      </c>
      <c r="Z11" s="84" t="str">
        <f t="shared" si="14"/>
        <v/>
      </c>
      <c r="AA11" s="84" t="str">
        <f t="shared" si="15"/>
        <v/>
      </c>
      <c r="AB11" s="84" t="str">
        <f t="shared" si="16"/>
        <v/>
      </c>
      <c r="AC11" s="84" t="str">
        <f t="shared" si="17"/>
        <v/>
      </c>
      <c r="AD11" s="84" t="str">
        <f t="shared" si="18"/>
        <v/>
      </c>
      <c r="AE11" s="84">
        <f t="shared" si="19"/>
        <v>196.99988999999999</v>
      </c>
      <c r="AF11" s="84" t="str">
        <f t="shared" si="20"/>
        <v/>
      </c>
      <c r="AG11" s="84" t="str">
        <f t="shared" si="21"/>
        <v/>
      </c>
      <c r="AH11" s="84" t="str">
        <f t="shared" si="22"/>
        <v/>
      </c>
      <c r="AI11" s="84" t="str">
        <f t="shared" si="23"/>
        <v/>
      </c>
      <c r="AJ11" s="84" t="str">
        <f t="shared" si="24"/>
        <v/>
      </c>
      <c r="AK11" s="84">
        <f t="shared" si="25"/>
        <v>196.99988999999999</v>
      </c>
      <c r="AL11" s="84" t="str">
        <f t="shared" si="26"/>
        <v/>
      </c>
      <c r="AM11" s="84" t="str">
        <f t="shared" si="27"/>
        <v/>
      </c>
      <c r="AN11" s="84" t="str">
        <f t="shared" si="28"/>
        <v/>
      </c>
      <c r="AO11" s="84" t="str">
        <f t="shared" si="29"/>
        <v/>
      </c>
      <c r="AP11" s="84" t="str">
        <f t="shared" si="30"/>
        <v/>
      </c>
      <c r="AQ11" s="84">
        <f t="shared" si="31"/>
        <v>196.99988999999999</v>
      </c>
      <c r="AR11" s="84" t="str">
        <f t="shared" si="32"/>
        <v/>
      </c>
      <c r="AS11" s="84" t="str">
        <f t="shared" si="33"/>
        <v/>
      </c>
      <c r="AT11" s="84" t="str">
        <f t="shared" si="34"/>
        <v/>
      </c>
      <c r="AU11" s="84" t="str">
        <f t="shared" si="35"/>
        <v/>
      </c>
    </row>
    <row r="12" spans="1:47" ht="19" customHeight="1" x14ac:dyDescent="0.3">
      <c r="A12" s="67" t="s">
        <v>100</v>
      </c>
      <c r="B12" s="67"/>
      <c r="C12" s="67"/>
      <c r="D12" s="89">
        <f>持有情况!AA70-ROW()*0.00001</f>
        <v>114.99988</v>
      </c>
      <c r="E12" s="89">
        <v>2</v>
      </c>
      <c r="F12" s="90">
        <v>0</v>
      </c>
      <c r="G12" s="89">
        <v>3</v>
      </c>
      <c r="H12" s="90">
        <v>0</v>
      </c>
      <c r="I12" s="1"/>
      <c r="J12" s="89">
        <f>INT((8.5/100)*路线!B12+9*路线!B29+15*路线!B31+40)-ROW()*0.00001</f>
        <v>114.99988</v>
      </c>
      <c r="K12" s="1"/>
      <c r="L12" s="84" t="str">
        <f t="shared" si="0"/>
        <v/>
      </c>
      <c r="M12" s="84" t="str">
        <f t="shared" si="1"/>
        <v/>
      </c>
      <c r="N12" s="84" t="str">
        <f t="shared" si="2"/>
        <v/>
      </c>
      <c r="O12" s="84" t="str">
        <f t="shared" si="3"/>
        <v/>
      </c>
      <c r="P12" s="84" t="str">
        <f t="shared" si="4"/>
        <v/>
      </c>
      <c r="Q12" s="84" t="str">
        <f t="shared" si="5"/>
        <v/>
      </c>
      <c r="R12" s="84" t="str">
        <f t="shared" si="6"/>
        <v/>
      </c>
      <c r="S12" s="84">
        <f t="shared" si="7"/>
        <v>114.99988</v>
      </c>
      <c r="T12" s="84" t="str">
        <f t="shared" si="8"/>
        <v/>
      </c>
      <c r="U12" s="84" t="str">
        <f t="shared" si="9"/>
        <v/>
      </c>
      <c r="V12" s="84" t="str">
        <f t="shared" si="10"/>
        <v/>
      </c>
      <c r="W12" s="84" t="str">
        <f t="shared" si="11"/>
        <v/>
      </c>
      <c r="X12" s="84" t="str">
        <f t="shared" si="12"/>
        <v/>
      </c>
      <c r="Y12" s="84" t="str">
        <f t="shared" si="13"/>
        <v/>
      </c>
      <c r="Z12" s="84" t="str">
        <f t="shared" si="14"/>
        <v/>
      </c>
      <c r="AA12" s="84" t="str">
        <f t="shared" si="15"/>
        <v/>
      </c>
      <c r="AB12" s="84" t="str">
        <f t="shared" si="16"/>
        <v/>
      </c>
      <c r="AC12" s="84" t="str">
        <f t="shared" si="17"/>
        <v/>
      </c>
      <c r="AD12" s="84" t="str">
        <f t="shared" si="18"/>
        <v/>
      </c>
      <c r="AE12" s="84" t="str">
        <f t="shared" si="19"/>
        <v/>
      </c>
      <c r="AF12" s="84" t="str">
        <f t="shared" si="20"/>
        <v/>
      </c>
      <c r="AG12" s="84" t="str">
        <f t="shared" si="21"/>
        <v/>
      </c>
      <c r="AH12" s="84" t="str">
        <f t="shared" si="22"/>
        <v/>
      </c>
      <c r="AI12" s="84" t="str">
        <f t="shared" si="23"/>
        <v/>
      </c>
      <c r="AJ12" s="84" t="str">
        <f t="shared" si="24"/>
        <v/>
      </c>
      <c r="AK12" s="84" t="str">
        <f t="shared" si="25"/>
        <v/>
      </c>
      <c r="AL12" s="84">
        <f t="shared" si="26"/>
        <v>114.99988</v>
      </c>
      <c r="AM12" s="84" t="str">
        <f t="shared" si="27"/>
        <v/>
      </c>
      <c r="AN12" s="84" t="str">
        <f t="shared" si="28"/>
        <v/>
      </c>
      <c r="AO12" s="84" t="str">
        <f t="shared" si="29"/>
        <v/>
      </c>
      <c r="AP12" s="84" t="str">
        <f t="shared" si="30"/>
        <v/>
      </c>
      <c r="AQ12" s="84" t="str">
        <f t="shared" si="31"/>
        <v/>
      </c>
      <c r="AR12" s="84" t="str">
        <f t="shared" si="32"/>
        <v/>
      </c>
      <c r="AS12" s="84" t="str">
        <f t="shared" si="33"/>
        <v/>
      </c>
      <c r="AT12" s="84" t="str">
        <f t="shared" si="34"/>
        <v/>
      </c>
      <c r="AU12" s="84" t="str">
        <f t="shared" si="35"/>
        <v/>
      </c>
    </row>
    <row r="13" spans="1:47" ht="19" customHeight="1" x14ac:dyDescent="0.3">
      <c r="A13" s="67" t="s">
        <v>127</v>
      </c>
      <c r="B13" s="67"/>
      <c r="C13" s="67"/>
      <c r="D13" s="89">
        <f>持有情况!AA94-ROW()*0.00001</f>
        <v>295.99986999999999</v>
      </c>
      <c r="E13" s="89">
        <v>3</v>
      </c>
      <c r="F13" s="90">
        <v>0</v>
      </c>
      <c r="G13" s="89">
        <v>3</v>
      </c>
      <c r="H13" s="89">
        <v>1</v>
      </c>
      <c r="I13" s="84" t="s">
        <v>287</v>
      </c>
      <c r="J13" s="89">
        <f>IF(路线!C6="计算",INT((8.5/100)*路线!B12+11*路线!B35+9*路线!B28+17*路线!B18+40+20)-ROW()*0.00001,INT((8.5/100)*路线!B12+11*路线!B35+9*路线!B28+17*路线!B18+40)-ROW()*0.00001)</f>
        <v>295.99986999999999</v>
      </c>
      <c r="K13" s="1"/>
      <c r="L13" s="84" t="str">
        <f t="shared" si="0"/>
        <v/>
      </c>
      <c r="M13" s="84" t="str">
        <f t="shared" si="1"/>
        <v/>
      </c>
      <c r="N13" s="84" t="str">
        <f t="shared" si="2"/>
        <v/>
      </c>
      <c r="O13" s="84" t="str">
        <f t="shared" si="3"/>
        <v/>
      </c>
      <c r="P13" s="84" t="str">
        <f t="shared" si="4"/>
        <v/>
      </c>
      <c r="Q13" s="84" t="str">
        <f t="shared" si="5"/>
        <v/>
      </c>
      <c r="R13" s="84" t="str">
        <f t="shared" si="6"/>
        <v/>
      </c>
      <c r="S13" s="84" t="str">
        <f t="shared" si="7"/>
        <v/>
      </c>
      <c r="T13" s="84">
        <f t="shared" si="8"/>
        <v>295.99986999999999</v>
      </c>
      <c r="U13" s="84" t="str">
        <f t="shared" si="9"/>
        <v/>
      </c>
      <c r="V13" s="84" t="str">
        <f t="shared" si="10"/>
        <v/>
      </c>
      <c r="W13" s="84" t="str">
        <f t="shared" si="11"/>
        <v/>
      </c>
      <c r="X13" s="84" t="str">
        <f t="shared" si="12"/>
        <v/>
      </c>
      <c r="Y13" s="84" t="str">
        <f t="shared" si="13"/>
        <v/>
      </c>
      <c r="Z13" s="84" t="str">
        <f t="shared" si="14"/>
        <v/>
      </c>
      <c r="AA13" s="84" t="str">
        <f t="shared" si="15"/>
        <v/>
      </c>
      <c r="AB13" s="84" t="str">
        <f t="shared" si="16"/>
        <v/>
      </c>
      <c r="AC13" s="84" t="str">
        <f t="shared" si="17"/>
        <v/>
      </c>
      <c r="AD13" s="84" t="str">
        <f t="shared" si="18"/>
        <v/>
      </c>
      <c r="AE13" s="84" t="str">
        <f t="shared" si="19"/>
        <v/>
      </c>
      <c r="AF13" s="84" t="str">
        <f t="shared" si="20"/>
        <v/>
      </c>
      <c r="AG13" s="84" t="str">
        <f t="shared" si="21"/>
        <v/>
      </c>
      <c r="AH13" s="84" t="str">
        <f t="shared" si="22"/>
        <v/>
      </c>
      <c r="AI13" s="84" t="str">
        <f t="shared" si="23"/>
        <v/>
      </c>
      <c r="AJ13" s="84" t="str">
        <f t="shared" si="24"/>
        <v/>
      </c>
      <c r="AK13" s="84" t="str">
        <f t="shared" si="25"/>
        <v/>
      </c>
      <c r="AL13" s="84" t="str">
        <f t="shared" si="26"/>
        <v/>
      </c>
      <c r="AM13" s="84" t="str">
        <f t="shared" si="27"/>
        <v/>
      </c>
      <c r="AN13" s="84" t="str">
        <f t="shared" si="28"/>
        <v/>
      </c>
      <c r="AO13" s="84" t="str">
        <f t="shared" si="29"/>
        <v/>
      </c>
      <c r="AP13" s="84" t="str">
        <f t="shared" si="30"/>
        <v/>
      </c>
      <c r="AQ13" s="84" t="str">
        <f t="shared" si="31"/>
        <v/>
      </c>
      <c r="AR13" s="84">
        <f t="shared" si="32"/>
        <v>295.99986999999999</v>
      </c>
      <c r="AS13" s="84" t="str">
        <f t="shared" si="33"/>
        <v/>
      </c>
      <c r="AT13" s="84" t="str">
        <f t="shared" si="34"/>
        <v/>
      </c>
      <c r="AU13" s="84" t="str">
        <f t="shared" si="35"/>
        <v/>
      </c>
    </row>
    <row r="14" spans="1:47" ht="19" customHeight="1" x14ac:dyDescent="0.3">
      <c r="A14" s="57" t="s">
        <v>115</v>
      </c>
      <c r="B14" s="57"/>
      <c r="C14" s="57"/>
      <c r="D14" s="89">
        <f>IF(路线!B4="计算",持有情况!AM83,持有情况!AK82)-ROW()*0.00001</f>
        <v>181.99986000000001</v>
      </c>
      <c r="E14" s="90">
        <v>0</v>
      </c>
      <c r="F14" s="90">
        <v>0</v>
      </c>
      <c r="G14" s="89">
        <v>1</v>
      </c>
      <c r="H14" s="90">
        <v>0</v>
      </c>
      <c r="I14" s="1"/>
      <c r="J14" s="89">
        <f>IF(路线!B4="计算",INT(45+10*路线!B31+5*路线!B30+3*(路线!B28+路线!B29)+30+持有情况!AM81),INT(45+10*路线!B31+5*路线!B30+3*(路线!B28+路线!B29)+30))-ROW()*0.00001</f>
        <v>181.99986000000001</v>
      </c>
      <c r="K14" s="1"/>
      <c r="L14" s="84">
        <f t="shared" si="0"/>
        <v>181.99986000000001</v>
      </c>
      <c r="M14" s="84">
        <f t="shared" si="1"/>
        <v>181.99986000000001</v>
      </c>
      <c r="N14" s="84">
        <f t="shared" si="2"/>
        <v>181.99986000000001</v>
      </c>
      <c r="O14" s="84" t="str">
        <f t="shared" si="3"/>
        <v/>
      </c>
      <c r="P14" s="84" t="str">
        <f t="shared" si="4"/>
        <v/>
      </c>
      <c r="Q14" s="84" t="str">
        <f t="shared" si="5"/>
        <v/>
      </c>
      <c r="R14" s="84" t="str">
        <f t="shared" si="6"/>
        <v/>
      </c>
      <c r="S14" s="84" t="str">
        <f t="shared" si="7"/>
        <v/>
      </c>
      <c r="T14" s="84" t="str">
        <f t="shared" si="8"/>
        <v/>
      </c>
      <c r="U14" s="84" t="str">
        <f t="shared" si="9"/>
        <v/>
      </c>
      <c r="V14" s="84" t="str">
        <f t="shared" si="10"/>
        <v/>
      </c>
      <c r="W14" s="84" t="str">
        <f t="shared" si="11"/>
        <v/>
      </c>
      <c r="X14" s="84" t="str">
        <f t="shared" si="12"/>
        <v/>
      </c>
      <c r="Y14" s="84" t="str">
        <f t="shared" si="13"/>
        <v/>
      </c>
      <c r="Z14" s="84" t="str">
        <f t="shared" si="14"/>
        <v/>
      </c>
      <c r="AA14" s="84" t="str">
        <f t="shared" si="15"/>
        <v/>
      </c>
      <c r="AB14" s="84" t="str">
        <f t="shared" si="16"/>
        <v/>
      </c>
      <c r="AC14" s="84" t="str">
        <f t="shared" si="17"/>
        <v/>
      </c>
      <c r="AD14" s="84">
        <f t="shared" si="18"/>
        <v>181.99986000000001</v>
      </c>
      <c r="AE14" s="84" t="str">
        <f t="shared" si="19"/>
        <v/>
      </c>
      <c r="AF14" s="84" t="str">
        <f t="shared" si="20"/>
        <v/>
      </c>
      <c r="AG14" s="84" t="str">
        <f t="shared" si="21"/>
        <v/>
      </c>
      <c r="AH14" s="84" t="str">
        <f t="shared" si="22"/>
        <v/>
      </c>
      <c r="AI14" s="84" t="str">
        <f t="shared" si="23"/>
        <v/>
      </c>
      <c r="AJ14" s="84">
        <f t="shared" si="24"/>
        <v>181.99986000000001</v>
      </c>
      <c r="AK14" s="84" t="str">
        <f t="shared" si="25"/>
        <v/>
      </c>
      <c r="AL14" s="84" t="str">
        <f t="shared" si="26"/>
        <v/>
      </c>
      <c r="AM14" s="84" t="str">
        <f t="shared" si="27"/>
        <v/>
      </c>
      <c r="AN14" s="84" t="str">
        <f t="shared" si="28"/>
        <v/>
      </c>
      <c r="AO14" s="84" t="str">
        <f t="shared" si="29"/>
        <v/>
      </c>
      <c r="AP14" s="84">
        <f t="shared" si="30"/>
        <v>181.99986000000001</v>
      </c>
      <c r="AQ14" s="84" t="str">
        <f t="shared" si="31"/>
        <v/>
      </c>
      <c r="AR14" s="84" t="str">
        <f t="shared" si="32"/>
        <v/>
      </c>
      <c r="AS14" s="84" t="str">
        <f t="shared" si="33"/>
        <v/>
      </c>
      <c r="AT14" s="84" t="str">
        <f t="shared" si="34"/>
        <v/>
      </c>
      <c r="AU14" s="84" t="str">
        <f t="shared" si="35"/>
        <v/>
      </c>
    </row>
    <row r="15" spans="1:47" ht="19" customHeight="1" x14ac:dyDescent="0.3">
      <c r="A15" s="57" t="s">
        <v>63</v>
      </c>
      <c r="B15" s="57"/>
      <c r="C15" s="57"/>
      <c r="D15" s="89">
        <f>持有情况!G40-ROW()*0.00001</f>
        <v>185.99985000000001</v>
      </c>
      <c r="E15" s="90">
        <v>0</v>
      </c>
      <c r="F15" s="90">
        <v>0</v>
      </c>
      <c r="G15" s="89">
        <v>1</v>
      </c>
      <c r="H15" s="89">
        <v>1</v>
      </c>
      <c r="I15" s="84" t="s">
        <v>288</v>
      </c>
      <c r="J15" s="89">
        <f>IF(路线!C6="计算",INT((8.5/100)*路线!B12+17*路线!B18+9*路线!B29+40+20)-ROW()*0.00001,INT((8.5/100)*路线!B12+17*路线!B18+9*路线!B29+40)-ROW()*0.00001)</f>
        <v>185.99985000000001</v>
      </c>
      <c r="K15" s="1"/>
      <c r="L15" s="84">
        <f t="shared" si="0"/>
        <v>185.99985000000001</v>
      </c>
      <c r="M15" s="84">
        <f t="shared" si="1"/>
        <v>185.99985000000001</v>
      </c>
      <c r="N15" s="84">
        <f t="shared" si="2"/>
        <v>185.99985000000001</v>
      </c>
      <c r="O15" s="84" t="str">
        <f t="shared" si="3"/>
        <v/>
      </c>
      <c r="P15" s="84" t="str">
        <f t="shared" si="4"/>
        <v/>
      </c>
      <c r="Q15" s="84" t="str">
        <f t="shared" si="5"/>
        <v/>
      </c>
      <c r="R15" s="84" t="str">
        <f t="shared" si="6"/>
        <v/>
      </c>
      <c r="S15" s="84" t="str">
        <f t="shared" si="7"/>
        <v/>
      </c>
      <c r="T15" s="84" t="str">
        <f t="shared" si="8"/>
        <v/>
      </c>
      <c r="U15" s="84" t="str">
        <f t="shared" si="9"/>
        <v/>
      </c>
      <c r="V15" s="84" t="str">
        <f t="shared" si="10"/>
        <v/>
      </c>
      <c r="W15" s="84" t="str">
        <f t="shared" si="11"/>
        <v/>
      </c>
      <c r="X15" s="84" t="str">
        <f t="shared" si="12"/>
        <v/>
      </c>
      <c r="Y15" s="84" t="str">
        <f t="shared" si="13"/>
        <v/>
      </c>
      <c r="Z15" s="84" t="str">
        <f t="shared" si="14"/>
        <v/>
      </c>
      <c r="AA15" s="84" t="str">
        <f t="shared" si="15"/>
        <v/>
      </c>
      <c r="AB15" s="84" t="str">
        <f t="shared" si="16"/>
        <v/>
      </c>
      <c r="AC15" s="84" t="str">
        <f t="shared" si="17"/>
        <v/>
      </c>
      <c r="AD15" s="84">
        <f t="shared" si="18"/>
        <v>185.99985000000001</v>
      </c>
      <c r="AE15" s="84" t="str">
        <f t="shared" si="19"/>
        <v/>
      </c>
      <c r="AF15" s="84" t="str">
        <f t="shared" si="20"/>
        <v/>
      </c>
      <c r="AG15" s="84" t="str">
        <f t="shared" si="21"/>
        <v/>
      </c>
      <c r="AH15" s="84" t="str">
        <f t="shared" si="22"/>
        <v/>
      </c>
      <c r="AI15" s="84" t="str">
        <f t="shared" si="23"/>
        <v/>
      </c>
      <c r="AJ15" s="84">
        <f t="shared" si="24"/>
        <v>185.99985000000001</v>
      </c>
      <c r="AK15" s="84" t="str">
        <f t="shared" si="25"/>
        <v/>
      </c>
      <c r="AL15" s="84" t="str">
        <f t="shared" si="26"/>
        <v/>
      </c>
      <c r="AM15" s="84" t="str">
        <f t="shared" si="27"/>
        <v/>
      </c>
      <c r="AN15" s="84" t="str">
        <f t="shared" si="28"/>
        <v/>
      </c>
      <c r="AO15" s="84" t="str">
        <f t="shared" si="29"/>
        <v/>
      </c>
      <c r="AP15" s="84">
        <f t="shared" si="30"/>
        <v>185.99985000000001</v>
      </c>
      <c r="AQ15" s="84" t="str">
        <f t="shared" si="31"/>
        <v/>
      </c>
      <c r="AR15" s="84" t="str">
        <f t="shared" si="32"/>
        <v/>
      </c>
      <c r="AS15" s="84" t="str">
        <f t="shared" si="33"/>
        <v/>
      </c>
      <c r="AT15" s="84" t="str">
        <f t="shared" si="34"/>
        <v/>
      </c>
      <c r="AU15" s="84" t="str">
        <f t="shared" si="35"/>
        <v/>
      </c>
    </row>
    <row r="16" spans="1:47" ht="19" customHeight="1" x14ac:dyDescent="0.3">
      <c r="A16" s="75" t="s">
        <v>107</v>
      </c>
      <c r="B16" s="75"/>
      <c r="C16" s="75"/>
      <c r="D16" s="89">
        <f>持有情况!Q76-ROW()*0.00001</f>
        <v>233.99984000000001</v>
      </c>
      <c r="E16" s="89">
        <v>1</v>
      </c>
      <c r="F16" s="90">
        <v>0</v>
      </c>
      <c r="G16" s="89">
        <v>2</v>
      </c>
      <c r="H16" s="89">
        <v>1</v>
      </c>
      <c r="I16" s="84" t="s">
        <v>289</v>
      </c>
      <c r="J16" s="89">
        <f>IF(路线!C6="计算",INT((8.5/100)*路线!B12+11*路线!B33+17*路线!B18+22+40+20)-ROW()*0.00001,INT((8.5/100)*路线!B12+11*路线!B33+17*路线!B18+22+40)-ROW()*0.00001)</f>
        <v>233.99984000000001</v>
      </c>
      <c r="K16" s="1"/>
      <c r="L16" s="84" t="str">
        <f t="shared" si="0"/>
        <v/>
      </c>
      <c r="M16" s="84" t="str">
        <f t="shared" si="1"/>
        <v/>
      </c>
      <c r="N16" s="84" t="str">
        <f t="shared" si="2"/>
        <v/>
      </c>
      <c r="O16" s="84">
        <f t="shared" si="3"/>
        <v>233.99984000000001</v>
      </c>
      <c r="P16" s="84" t="str">
        <f t="shared" si="4"/>
        <v/>
      </c>
      <c r="Q16" s="84" t="str">
        <f t="shared" si="5"/>
        <v/>
      </c>
      <c r="R16" s="84" t="str">
        <f t="shared" si="6"/>
        <v/>
      </c>
      <c r="S16" s="84" t="str">
        <f t="shared" si="7"/>
        <v/>
      </c>
      <c r="T16" s="84" t="str">
        <f t="shared" si="8"/>
        <v/>
      </c>
      <c r="U16" s="84" t="str">
        <f t="shared" si="9"/>
        <v/>
      </c>
      <c r="V16" s="84" t="str">
        <f t="shared" si="10"/>
        <v/>
      </c>
      <c r="W16" s="84" t="str">
        <f t="shared" si="11"/>
        <v/>
      </c>
      <c r="X16" s="84" t="str">
        <f t="shared" si="12"/>
        <v/>
      </c>
      <c r="Y16" s="84" t="str">
        <f t="shared" si="13"/>
        <v/>
      </c>
      <c r="Z16" s="84" t="str">
        <f t="shared" si="14"/>
        <v/>
      </c>
      <c r="AA16" s="84" t="str">
        <f t="shared" si="15"/>
        <v/>
      </c>
      <c r="AB16" s="84" t="str">
        <f t="shared" si="16"/>
        <v/>
      </c>
      <c r="AC16" s="84" t="str">
        <f t="shared" si="17"/>
        <v/>
      </c>
      <c r="AD16" s="84" t="str">
        <f t="shared" si="18"/>
        <v/>
      </c>
      <c r="AE16" s="84">
        <f t="shared" si="19"/>
        <v>233.99984000000001</v>
      </c>
      <c r="AF16" s="84" t="str">
        <f t="shared" si="20"/>
        <v/>
      </c>
      <c r="AG16" s="84" t="str">
        <f t="shared" si="21"/>
        <v/>
      </c>
      <c r="AH16" s="84" t="str">
        <f t="shared" si="22"/>
        <v/>
      </c>
      <c r="AI16" s="84" t="str">
        <f t="shared" si="23"/>
        <v/>
      </c>
      <c r="AJ16" s="84" t="str">
        <f t="shared" si="24"/>
        <v/>
      </c>
      <c r="AK16" s="84" t="str">
        <f t="shared" si="25"/>
        <v/>
      </c>
      <c r="AL16" s="84" t="str">
        <f t="shared" si="26"/>
        <v/>
      </c>
      <c r="AM16" s="84" t="str">
        <f t="shared" si="27"/>
        <v/>
      </c>
      <c r="AN16" s="84" t="str">
        <f t="shared" si="28"/>
        <v/>
      </c>
      <c r="AO16" s="84" t="str">
        <f t="shared" si="29"/>
        <v/>
      </c>
      <c r="AP16" s="84" t="str">
        <f t="shared" si="30"/>
        <v/>
      </c>
      <c r="AQ16" s="84" t="str">
        <f t="shared" si="31"/>
        <v/>
      </c>
      <c r="AR16" s="84" t="str">
        <f t="shared" si="32"/>
        <v/>
      </c>
      <c r="AS16" s="84" t="str">
        <f t="shared" si="33"/>
        <v/>
      </c>
      <c r="AT16" s="84" t="str">
        <f t="shared" si="34"/>
        <v/>
      </c>
      <c r="AU16" s="84" t="str">
        <f t="shared" si="35"/>
        <v/>
      </c>
    </row>
    <row r="17" spans="1:47" ht="19" customHeight="1" x14ac:dyDescent="0.3">
      <c r="A17" s="67" t="s">
        <v>135</v>
      </c>
      <c r="B17" s="67"/>
      <c r="C17" s="67"/>
      <c r="D17" s="89">
        <f>IF(路线!B4="计算",持有情况!AC101,持有情况!AA100)-ROW()*0.00001</f>
        <v>184.99983</v>
      </c>
      <c r="E17" s="89">
        <v>3</v>
      </c>
      <c r="F17" s="89">
        <v>1</v>
      </c>
      <c r="G17" s="89">
        <v>3</v>
      </c>
      <c r="H17" s="89">
        <v>1</v>
      </c>
      <c r="I17" s="1"/>
      <c r="J17" s="89">
        <f>IF(路线!B4="计算",INT(60+6*路线!B17+4*路线!B26+40+持有情况!AC99),INT(60+6*路线!B17+4*路线!B26+40))-ROW()*0.00001</f>
        <v>184.99983</v>
      </c>
      <c r="K17" s="1"/>
      <c r="L17" s="84" t="str">
        <f t="shared" si="0"/>
        <v/>
      </c>
      <c r="M17" s="84" t="str">
        <f t="shared" si="1"/>
        <v/>
      </c>
      <c r="N17" s="84" t="str">
        <f t="shared" si="2"/>
        <v/>
      </c>
      <c r="O17" s="84" t="str">
        <f t="shared" si="3"/>
        <v/>
      </c>
      <c r="P17" s="84" t="str">
        <f t="shared" si="4"/>
        <v/>
      </c>
      <c r="Q17" s="84" t="str">
        <f t="shared" si="5"/>
        <v/>
      </c>
      <c r="R17" s="84" t="str">
        <f t="shared" si="6"/>
        <v/>
      </c>
      <c r="S17" s="84" t="str">
        <f t="shared" si="7"/>
        <v/>
      </c>
      <c r="T17" s="84">
        <f t="shared" si="8"/>
        <v>184.99983</v>
      </c>
      <c r="U17" s="84" t="str">
        <f t="shared" si="9"/>
        <v/>
      </c>
      <c r="V17" s="84" t="str">
        <f t="shared" si="10"/>
        <v/>
      </c>
      <c r="W17" s="84" t="str">
        <f t="shared" si="11"/>
        <v/>
      </c>
      <c r="X17" s="84" t="str">
        <f t="shared" si="12"/>
        <v/>
      </c>
      <c r="Y17" s="84" t="str">
        <f t="shared" si="13"/>
        <v/>
      </c>
      <c r="Z17" s="84" t="str">
        <f t="shared" si="14"/>
        <v/>
      </c>
      <c r="AA17" s="84" t="str">
        <f t="shared" si="15"/>
        <v/>
      </c>
      <c r="AB17" s="84" t="str">
        <f t="shared" si="16"/>
        <v/>
      </c>
      <c r="AC17" s="84">
        <f t="shared" si="17"/>
        <v>184.99983</v>
      </c>
      <c r="AD17" s="84" t="str">
        <f t="shared" si="18"/>
        <v/>
      </c>
      <c r="AE17" s="84" t="str">
        <f t="shared" si="19"/>
        <v/>
      </c>
      <c r="AF17" s="84" t="str">
        <f t="shared" si="20"/>
        <v/>
      </c>
      <c r="AG17" s="84" t="str">
        <f t="shared" si="21"/>
        <v/>
      </c>
      <c r="AH17" s="84" t="str">
        <f t="shared" si="22"/>
        <v/>
      </c>
      <c r="AI17" s="84" t="str">
        <f t="shared" si="23"/>
        <v/>
      </c>
      <c r="AJ17" s="84" t="str">
        <f t="shared" si="24"/>
        <v/>
      </c>
      <c r="AK17" s="84" t="str">
        <f t="shared" si="25"/>
        <v/>
      </c>
      <c r="AL17" s="84" t="str">
        <f t="shared" si="26"/>
        <v/>
      </c>
      <c r="AM17" s="84" t="str">
        <f t="shared" si="27"/>
        <v/>
      </c>
      <c r="AN17" s="84" t="str">
        <f t="shared" si="28"/>
        <v/>
      </c>
      <c r="AO17" s="84" t="str">
        <f t="shared" si="29"/>
        <v/>
      </c>
      <c r="AP17" s="84" t="str">
        <f t="shared" si="30"/>
        <v/>
      </c>
      <c r="AQ17" s="84" t="str">
        <f t="shared" si="31"/>
        <v/>
      </c>
      <c r="AR17" s="84" t="str">
        <f t="shared" si="32"/>
        <v/>
      </c>
      <c r="AS17" s="84" t="str">
        <f t="shared" si="33"/>
        <v/>
      </c>
      <c r="AT17" s="84" t="str">
        <f t="shared" si="34"/>
        <v/>
      </c>
      <c r="AU17" s="84">
        <f t="shared" si="35"/>
        <v>184.99983</v>
      </c>
    </row>
    <row r="18" spans="1:47" ht="19" customHeight="1" x14ac:dyDescent="0.3">
      <c r="A18" s="57" t="s">
        <v>23</v>
      </c>
      <c r="B18" s="57"/>
      <c r="C18" s="57"/>
      <c r="D18" s="89">
        <f>持有情况!G10-ROW()*0.00001</f>
        <v>132.99982</v>
      </c>
      <c r="E18" s="90">
        <v>0</v>
      </c>
      <c r="F18" s="90">
        <v>0</v>
      </c>
      <c r="G18" s="89">
        <v>1</v>
      </c>
      <c r="H18" s="89">
        <v>1</v>
      </c>
      <c r="I18" s="84" t="s">
        <v>290</v>
      </c>
      <c r="J18" s="89">
        <f>INT((8.5/100)*路线!B12+15*路线!B31+3*路线!B24+40)-ROW()*0.00001</f>
        <v>132.99982</v>
      </c>
      <c r="K18" s="1"/>
      <c r="L18" s="84">
        <f t="shared" si="0"/>
        <v>132.99982</v>
      </c>
      <c r="M18" s="84">
        <f t="shared" si="1"/>
        <v>132.99982</v>
      </c>
      <c r="N18" s="84">
        <f t="shared" si="2"/>
        <v>132.99982</v>
      </c>
      <c r="O18" s="84" t="str">
        <f t="shared" si="3"/>
        <v/>
      </c>
      <c r="P18" s="84" t="str">
        <f t="shared" si="4"/>
        <v/>
      </c>
      <c r="Q18" s="84" t="str">
        <f t="shared" si="5"/>
        <v/>
      </c>
      <c r="R18" s="84" t="str">
        <f t="shared" si="6"/>
        <v/>
      </c>
      <c r="S18" s="84" t="str">
        <f t="shared" si="7"/>
        <v/>
      </c>
      <c r="T18" s="84" t="str">
        <f t="shared" si="8"/>
        <v/>
      </c>
      <c r="U18" s="84" t="str">
        <f t="shared" si="9"/>
        <v/>
      </c>
      <c r="V18" s="84" t="str">
        <f t="shared" si="10"/>
        <v/>
      </c>
      <c r="W18" s="84" t="str">
        <f t="shared" si="11"/>
        <v/>
      </c>
      <c r="X18" s="84" t="str">
        <f t="shared" si="12"/>
        <v/>
      </c>
      <c r="Y18" s="84" t="str">
        <f t="shared" si="13"/>
        <v/>
      </c>
      <c r="Z18" s="84" t="str">
        <f t="shared" si="14"/>
        <v/>
      </c>
      <c r="AA18" s="84" t="str">
        <f t="shared" si="15"/>
        <v/>
      </c>
      <c r="AB18" s="84" t="str">
        <f t="shared" si="16"/>
        <v/>
      </c>
      <c r="AC18" s="84" t="str">
        <f t="shared" si="17"/>
        <v/>
      </c>
      <c r="AD18" s="84">
        <f t="shared" si="18"/>
        <v>132.99982</v>
      </c>
      <c r="AE18" s="84" t="str">
        <f t="shared" si="19"/>
        <v/>
      </c>
      <c r="AF18" s="84" t="str">
        <f t="shared" si="20"/>
        <v/>
      </c>
      <c r="AG18" s="84" t="str">
        <f t="shared" si="21"/>
        <v/>
      </c>
      <c r="AH18" s="84" t="str">
        <f t="shared" si="22"/>
        <v/>
      </c>
      <c r="AI18" s="84" t="str">
        <f t="shared" si="23"/>
        <v/>
      </c>
      <c r="AJ18" s="84">
        <f t="shared" si="24"/>
        <v>132.99982</v>
      </c>
      <c r="AK18" s="84" t="str">
        <f t="shared" si="25"/>
        <v/>
      </c>
      <c r="AL18" s="84" t="str">
        <f t="shared" si="26"/>
        <v/>
      </c>
      <c r="AM18" s="84" t="str">
        <f t="shared" si="27"/>
        <v/>
      </c>
      <c r="AN18" s="84" t="str">
        <f t="shared" si="28"/>
        <v/>
      </c>
      <c r="AO18" s="84" t="str">
        <f t="shared" si="29"/>
        <v/>
      </c>
      <c r="AP18" s="84">
        <f t="shared" si="30"/>
        <v>132.99982</v>
      </c>
      <c r="AQ18" s="84" t="str">
        <f t="shared" si="31"/>
        <v/>
      </c>
      <c r="AR18" s="84" t="str">
        <f t="shared" si="32"/>
        <v/>
      </c>
      <c r="AS18" s="84" t="str">
        <f t="shared" si="33"/>
        <v/>
      </c>
      <c r="AT18" s="84" t="str">
        <f t="shared" si="34"/>
        <v/>
      </c>
      <c r="AU18" s="84" t="str">
        <f t="shared" si="35"/>
        <v/>
      </c>
    </row>
    <row r="19" spans="1:47" ht="19" customHeight="1" x14ac:dyDescent="0.3">
      <c r="A19" s="67" t="s">
        <v>93</v>
      </c>
      <c r="B19" s="67"/>
      <c r="C19" s="67"/>
      <c r="D19" s="89">
        <f>IF(路线!B4="计算",持有情况!AC65,持有情况!AA64)-ROW()*0.00001</f>
        <v>222.99981</v>
      </c>
      <c r="E19" s="90">
        <v>0</v>
      </c>
      <c r="F19" s="89">
        <v>1</v>
      </c>
      <c r="G19" s="89">
        <v>3</v>
      </c>
      <c r="H19" s="90">
        <v>0</v>
      </c>
      <c r="I19" s="1"/>
      <c r="J19" s="89">
        <f>IF(路线!B4="计算",INT(60+6*路线!B17+3*路线!B23+40+持有情况!AC63),INT(60+6*路线!B17+3*路线!B23+40))-ROW()*0.00001</f>
        <v>222.99981</v>
      </c>
      <c r="K19" s="1"/>
      <c r="L19" s="84" t="str">
        <f t="shared" si="0"/>
        <v/>
      </c>
      <c r="M19" s="84" t="str">
        <f t="shared" si="1"/>
        <v/>
      </c>
      <c r="N19" s="84" t="str">
        <f t="shared" si="2"/>
        <v/>
      </c>
      <c r="O19" s="84" t="str">
        <f t="shared" si="3"/>
        <v/>
      </c>
      <c r="P19" s="84" t="str">
        <f t="shared" si="4"/>
        <v/>
      </c>
      <c r="Q19" s="84" t="str">
        <f t="shared" si="5"/>
        <v/>
      </c>
      <c r="R19" s="84">
        <f t="shared" si="6"/>
        <v>222.99981</v>
      </c>
      <c r="S19" s="84">
        <f t="shared" si="7"/>
        <v>222.99981</v>
      </c>
      <c r="T19" s="84">
        <f t="shared" si="8"/>
        <v>222.99981</v>
      </c>
      <c r="U19" s="84" t="str">
        <f t="shared" si="9"/>
        <v/>
      </c>
      <c r="V19" s="84" t="str">
        <f t="shared" si="10"/>
        <v/>
      </c>
      <c r="W19" s="84">
        <f t="shared" si="11"/>
        <v>222.99981</v>
      </c>
      <c r="X19" s="84" t="str">
        <f t="shared" si="12"/>
        <v/>
      </c>
      <c r="Y19" s="84" t="str">
        <f t="shared" si="13"/>
        <v/>
      </c>
      <c r="Z19" s="84">
        <f t="shared" si="14"/>
        <v>222.99981</v>
      </c>
      <c r="AA19" s="84" t="str">
        <f t="shared" si="15"/>
        <v/>
      </c>
      <c r="AB19" s="84" t="str">
        <f t="shared" si="16"/>
        <v/>
      </c>
      <c r="AC19" s="84">
        <f t="shared" si="17"/>
        <v>222.99981</v>
      </c>
      <c r="AD19" s="84" t="str">
        <f t="shared" si="18"/>
        <v/>
      </c>
      <c r="AE19" s="84" t="str">
        <f t="shared" si="19"/>
        <v/>
      </c>
      <c r="AF19" s="84" t="str">
        <f t="shared" si="20"/>
        <v/>
      </c>
      <c r="AG19" s="84" t="str">
        <f t="shared" si="21"/>
        <v/>
      </c>
      <c r="AH19" s="84" t="str">
        <f t="shared" si="22"/>
        <v/>
      </c>
      <c r="AI19" s="84">
        <f t="shared" si="23"/>
        <v>222.99981</v>
      </c>
      <c r="AJ19" s="84" t="str">
        <f t="shared" si="24"/>
        <v/>
      </c>
      <c r="AK19" s="84" t="str">
        <f t="shared" si="25"/>
        <v/>
      </c>
      <c r="AL19" s="84" t="str">
        <f t="shared" si="26"/>
        <v/>
      </c>
      <c r="AM19" s="84" t="str">
        <f t="shared" si="27"/>
        <v/>
      </c>
      <c r="AN19" s="84" t="str">
        <f t="shared" si="28"/>
        <v/>
      </c>
      <c r="AO19" s="84">
        <f t="shared" si="29"/>
        <v>222.99981</v>
      </c>
      <c r="AP19" s="84" t="str">
        <f t="shared" si="30"/>
        <v/>
      </c>
      <c r="AQ19" s="84" t="str">
        <f t="shared" si="31"/>
        <v/>
      </c>
      <c r="AR19" s="84" t="str">
        <f t="shared" si="32"/>
        <v/>
      </c>
      <c r="AS19" s="84" t="str">
        <f t="shared" si="33"/>
        <v/>
      </c>
      <c r="AT19" s="84" t="str">
        <f t="shared" si="34"/>
        <v/>
      </c>
      <c r="AU19" s="84">
        <f t="shared" si="35"/>
        <v>222.99981</v>
      </c>
    </row>
    <row r="20" spans="1:47" ht="19" customHeight="1" x14ac:dyDescent="0.3">
      <c r="A20" s="75" t="s">
        <v>126</v>
      </c>
      <c r="B20" s="75"/>
      <c r="C20" s="75"/>
      <c r="D20" s="89">
        <f>持有情况!Q94-ROW()*0.00001</f>
        <v>168.99979999999999</v>
      </c>
      <c r="E20" s="89">
        <v>2</v>
      </c>
      <c r="F20" s="89">
        <v>1</v>
      </c>
      <c r="G20" s="89">
        <v>2</v>
      </c>
      <c r="H20" s="90">
        <v>0</v>
      </c>
      <c r="I20" s="1"/>
      <c r="J20" s="89">
        <f>INT(60+17*路线!B18+9*路线!B29+40)-ROW()*0.00001</f>
        <v>168.99979999999999</v>
      </c>
      <c r="K20" s="1"/>
      <c r="L20" s="84" t="str">
        <f t="shared" si="0"/>
        <v/>
      </c>
      <c r="M20" s="84" t="str">
        <f t="shared" si="1"/>
        <v/>
      </c>
      <c r="N20" s="84" t="str">
        <f t="shared" si="2"/>
        <v/>
      </c>
      <c r="O20" s="84" t="str">
        <f t="shared" si="3"/>
        <v/>
      </c>
      <c r="P20" s="84">
        <f t="shared" si="4"/>
        <v>168.99979999999999</v>
      </c>
      <c r="Q20" s="84" t="str">
        <f t="shared" si="5"/>
        <v/>
      </c>
      <c r="R20" s="84" t="str">
        <f t="shared" si="6"/>
        <v/>
      </c>
      <c r="S20" s="84" t="str">
        <f t="shared" si="7"/>
        <v/>
      </c>
      <c r="T20" s="84" t="str">
        <f t="shared" si="8"/>
        <v/>
      </c>
      <c r="U20" s="84" t="str">
        <f t="shared" si="9"/>
        <v/>
      </c>
      <c r="V20" s="84" t="str">
        <f t="shared" si="10"/>
        <v/>
      </c>
      <c r="W20" s="84" t="str">
        <f t="shared" si="11"/>
        <v/>
      </c>
      <c r="X20" s="84" t="str">
        <f t="shared" si="12"/>
        <v/>
      </c>
      <c r="Y20" s="84">
        <f t="shared" si="13"/>
        <v>168.99979999999999</v>
      </c>
      <c r="Z20" s="84" t="str">
        <f t="shared" si="14"/>
        <v/>
      </c>
      <c r="AA20" s="84" t="str">
        <f t="shared" si="15"/>
        <v/>
      </c>
      <c r="AB20" s="84" t="str">
        <f t="shared" si="16"/>
        <v/>
      </c>
      <c r="AC20" s="84" t="str">
        <f t="shared" si="17"/>
        <v/>
      </c>
      <c r="AD20" s="84" t="str">
        <f t="shared" si="18"/>
        <v/>
      </c>
      <c r="AE20" s="84" t="str">
        <f t="shared" si="19"/>
        <v/>
      </c>
      <c r="AF20" s="84" t="str">
        <f t="shared" si="20"/>
        <v/>
      </c>
      <c r="AG20" s="84" t="str">
        <f t="shared" si="21"/>
        <v/>
      </c>
      <c r="AH20" s="84" t="str">
        <f t="shared" si="22"/>
        <v/>
      </c>
      <c r="AI20" s="84" t="str">
        <f t="shared" si="23"/>
        <v/>
      </c>
      <c r="AJ20" s="84" t="str">
        <f t="shared" si="24"/>
        <v/>
      </c>
      <c r="AK20" s="84" t="str">
        <f t="shared" si="25"/>
        <v/>
      </c>
      <c r="AL20" s="84" t="str">
        <f t="shared" si="26"/>
        <v/>
      </c>
      <c r="AM20" s="84" t="str">
        <f t="shared" si="27"/>
        <v/>
      </c>
      <c r="AN20" s="84">
        <f t="shared" si="28"/>
        <v>168.99979999999999</v>
      </c>
      <c r="AO20" s="84" t="str">
        <f t="shared" si="29"/>
        <v/>
      </c>
      <c r="AP20" s="84" t="str">
        <f t="shared" si="30"/>
        <v/>
      </c>
      <c r="AQ20" s="84" t="str">
        <f t="shared" si="31"/>
        <v/>
      </c>
      <c r="AR20" s="84" t="str">
        <f t="shared" si="32"/>
        <v/>
      </c>
      <c r="AS20" s="84" t="str">
        <f t="shared" si="33"/>
        <v/>
      </c>
      <c r="AT20" s="84" t="str">
        <f t="shared" si="34"/>
        <v/>
      </c>
      <c r="AU20" s="84" t="str">
        <f t="shared" si="35"/>
        <v/>
      </c>
    </row>
    <row r="21" spans="1:47" ht="19" customHeight="1" x14ac:dyDescent="0.3">
      <c r="A21" s="67" t="s">
        <v>80</v>
      </c>
      <c r="B21" s="67"/>
      <c r="C21" s="67"/>
      <c r="D21" s="89">
        <f>持有情况!AA52-ROW()*0.00001</f>
        <v>241.99978999999999</v>
      </c>
      <c r="E21" s="89">
        <v>1</v>
      </c>
      <c r="F21" s="90">
        <v>0</v>
      </c>
      <c r="G21" s="89">
        <v>3</v>
      </c>
      <c r="H21" s="89">
        <v>1</v>
      </c>
      <c r="I21" s="84" t="s">
        <v>291</v>
      </c>
      <c r="J21" s="89">
        <f>IF(路线!C6="计算",INT((8.5/100)*路线!B12+3*路线!B23+17*路线!B18+11*路线!B33+40+20)-ROW()*0.00001,INT((8.5/100)*路线!B12+3*路线!B23+17*路线!B18+11*路线!B33+40)-ROW()*0.00001)</f>
        <v>241.99978999999999</v>
      </c>
      <c r="K21" s="1"/>
      <c r="L21" s="84" t="str">
        <f t="shared" si="0"/>
        <v/>
      </c>
      <c r="M21" s="84" t="str">
        <f t="shared" si="1"/>
        <v/>
      </c>
      <c r="N21" s="84" t="str">
        <f t="shared" si="2"/>
        <v/>
      </c>
      <c r="O21" s="84" t="str">
        <f t="shared" si="3"/>
        <v/>
      </c>
      <c r="P21" s="84" t="str">
        <f t="shared" si="4"/>
        <v/>
      </c>
      <c r="Q21" s="84" t="str">
        <f t="shared" si="5"/>
        <v/>
      </c>
      <c r="R21" s="84">
        <f t="shared" si="6"/>
        <v>241.99978999999999</v>
      </c>
      <c r="S21" s="84" t="str">
        <f t="shared" si="7"/>
        <v/>
      </c>
      <c r="T21" s="84" t="str">
        <f t="shared" si="8"/>
        <v/>
      </c>
      <c r="U21" s="84" t="str">
        <f t="shared" si="9"/>
        <v/>
      </c>
      <c r="V21" s="84" t="str">
        <f t="shared" si="10"/>
        <v/>
      </c>
      <c r="W21" s="84" t="str">
        <f t="shared" si="11"/>
        <v/>
      </c>
      <c r="X21" s="84" t="str">
        <f t="shared" si="12"/>
        <v/>
      </c>
      <c r="Y21" s="84" t="str">
        <f t="shared" si="13"/>
        <v/>
      </c>
      <c r="Z21" s="84" t="str">
        <f t="shared" si="14"/>
        <v/>
      </c>
      <c r="AA21" s="84" t="str">
        <f t="shared" si="15"/>
        <v/>
      </c>
      <c r="AB21" s="84" t="str">
        <f t="shared" si="16"/>
        <v/>
      </c>
      <c r="AC21" s="84" t="str">
        <f t="shared" si="17"/>
        <v/>
      </c>
      <c r="AD21" s="84" t="str">
        <f t="shared" si="18"/>
        <v/>
      </c>
      <c r="AE21" s="84" t="str">
        <f t="shared" si="19"/>
        <v/>
      </c>
      <c r="AF21" s="84">
        <f t="shared" si="20"/>
        <v>241.99978999999999</v>
      </c>
      <c r="AG21" s="84" t="str">
        <f t="shared" si="21"/>
        <v/>
      </c>
      <c r="AH21" s="84" t="str">
        <f t="shared" si="22"/>
        <v/>
      </c>
      <c r="AI21" s="84" t="str">
        <f t="shared" si="23"/>
        <v/>
      </c>
      <c r="AJ21" s="84" t="str">
        <f t="shared" si="24"/>
        <v/>
      </c>
      <c r="AK21" s="84" t="str">
        <f t="shared" si="25"/>
        <v/>
      </c>
      <c r="AL21" s="84" t="str">
        <f t="shared" si="26"/>
        <v/>
      </c>
      <c r="AM21" s="84" t="str">
        <f t="shared" si="27"/>
        <v/>
      </c>
      <c r="AN21" s="84" t="str">
        <f t="shared" si="28"/>
        <v/>
      </c>
      <c r="AO21" s="84" t="str">
        <f t="shared" si="29"/>
        <v/>
      </c>
      <c r="AP21" s="84" t="str">
        <f t="shared" si="30"/>
        <v/>
      </c>
      <c r="AQ21" s="84" t="str">
        <f t="shared" si="31"/>
        <v/>
      </c>
      <c r="AR21" s="84" t="str">
        <f t="shared" si="32"/>
        <v/>
      </c>
      <c r="AS21" s="84" t="str">
        <f t="shared" si="33"/>
        <v/>
      </c>
      <c r="AT21" s="84" t="str">
        <f t="shared" si="34"/>
        <v/>
      </c>
      <c r="AU21" s="84" t="str">
        <f t="shared" si="35"/>
        <v/>
      </c>
    </row>
    <row r="22" spans="1:47" ht="19" customHeight="1" x14ac:dyDescent="0.3">
      <c r="A22" s="75" t="s">
        <v>136</v>
      </c>
      <c r="B22" s="75"/>
      <c r="C22" s="75"/>
      <c r="D22" s="89">
        <f>持有情况!AU100-ROW()*0.00001</f>
        <v>125.99978</v>
      </c>
      <c r="E22" s="89">
        <v>1</v>
      </c>
      <c r="F22" s="90">
        <v>0</v>
      </c>
      <c r="G22" s="89">
        <v>2</v>
      </c>
      <c r="H22" s="90">
        <v>0</v>
      </c>
      <c r="I22" s="1"/>
      <c r="J22" s="89">
        <f>INT(45+10*路线!B31+6*路线!B29+13*路线!B18+30)-ROW()*0.00001</f>
        <v>125.99978</v>
      </c>
      <c r="K22" s="1"/>
      <c r="L22" s="84" t="str">
        <f t="shared" si="0"/>
        <v/>
      </c>
      <c r="M22" s="84" t="str">
        <f t="shared" si="1"/>
        <v/>
      </c>
      <c r="N22" s="84" t="str">
        <f t="shared" si="2"/>
        <v/>
      </c>
      <c r="O22" s="84">
        <f t="shared" si="3"/>
        <v>125.99978</v>
      </c>
      <c r="P22" s="84" t="str">
        <f t="shared" si="4"/>
        <v/>
      </c>
      <c r="Q22" s="84" t="str">
        <f t="shared" si="5"/>
        <v/>
      </c>
      <c r="R22" s="84" t="str">
        <f t="shared" si="6"/>
        <v/>
      </c>
      <c r="S22" s="84" t="str">
        <f t="shared" si="7"/>
        <v/>
      </c>
      <c r="T22" s="84" t="str">
        <f t="shared" si="8"/>
        <v/>
      </c>
      <c r="U22" s="84" t="str">
        <f t="shared" si="9"/>
        <v/>
      </c>
      <c r="V22" s="84" t="str">
        <f t="shared" si="10"/>
        <v/>
      </c>
      <c r="W22" s="84" t="str">
        <f t="shared" si="11"/>
        <v/>
      </c>
      <c r="X22" s="84" t="str">
        <f t="shared" si="12"/>
        <v/>
      </c>
      <c r="Y22" s="84" t="str">
        <f t="shared" si="13"/>
        <v/>
      </c>
      <c r="Z22" s="84" t="str">
        <f t="shared" si="14"/>
        <v/>
      </c>
      <c r="AA22" s="84" t="str">
        <f t="shared" si="15"/>
        <v/>
      </c>
      <c r="AB22" s="84" t="str">
        <f t="shared" si="16"/>
        <v/>
      </c>
      <c r="AC22" s="84" t="str">
        <f t="shared" si="17"/>
        <v/>
      </c>
      <c r="AD22" s="84" t="str">
        <f t="shared" si="18"/>
        <v/>
      </c>
      <c r="AE22" s="84">
        <f t="shared" si="19"/>
        <v>125.99978</v>
      </c>
      <c r="AF22" s="84" t="str">
        <f t="shared" si="20"/>
        <v/>
      </c>
      <c r="AG22" s="84" t="str">
        <f t="shared" si="21"/>
        <v/>
      </c>
      <c r="AH22" s="84" t="str">
        <f t="shared" si="22"/>
        <v/>
      </c>
      <c r="AI22" s="84" t="str">
        <f t="shared" si="23"/>
        <v/>
      </c>
      <c r="AJ22" s="84" t="str">
        <f t="shared" si="24"/>
        <v/>
      </c>
      <c r="AK22" s="84" t="str">
        <f t="shared" si="25"/>
        <v/>
      </c>
      <c r="AL22" s="84" t="str">
        <f t="shared" si="26"/>
        <v/>
      </c>
      <c r="AM22" s="84" t="str">
        <f t="shared" si="27"/>
        <v/>
      </c>
      <c r="AN22" s="84" t="str">
        <f t="shared" si="28"/>
        <v/>
      </c>
      <c r="AO22" s="84" t="str">
        <f t="shared" si="29"/>
        <v/>
      </c>
      <c r="AP22" s="84" t="str">
        <f t="shared" si="30"/>
        <v/>
      </c>
      <c r="AQ22" s="84" t="str">
        <f t="shared" si="31"/>
        <v/>
      </c>
      <c r="AR22" s="84" t="str">
        <f t="shared" si="32"/>
        <v/>
      </c>
      <c r="AS22" s="84" t="str">
        <f t="shared" si="33"/>
        <v/>
      </c>
      <c r="AT22" s="84" t="str">
        <f t="shared" si="34"/>
        <v/>
      </c>
      <c r="AU22" s="84" t="str">
        <f t="shared" si="35"/>
        <v/>
      </c>
    </row>
    <row r="23" spans="1:47" ht="19" customHeight="1" x14ac:dyDescent="0.3">
      <c r="A23" s="67" t="s">
        <v>50</v>
      </c>
      <c r="B23" s="67"/>
      <c r="C23" s="67"/>
      <c r="D23" s="89">
        <f>持有情况!AA28-ROW()*0.00001</f>
        <v>163.99977000000001</v>
      </c>
      <c r="E23" s="90">
        <v>0</v>
      </c>
      <c r="F23" s="90">
        <v>0</v>
      </c>
      <c r="G23" s="89">
        <v>3</v>
      </c>
      <c r="H23" s="89">
        <v>1</v>
      </c>
      <c r="I23" s="84" t="s">
        <v>292</v>
      </c>
      <c r="J23" s="89">
        <f>INT((8.5/100)*路线!B12+17*路线!B18+4*(路线!B28+路线!B29)+40)-ROW()*0.00001</f>
        <v>163.99977000000001</v>
      </c>
      <c r="K23" s="1"/>
      <c r="L23" s="84" t="str">
        <f t="shared" si="0"/>
        <v/>
      </c>
      <c r="M23" s="84" t="str">
        <f t="shared" si="1"/>
        <v/>
      </c>
      <c r="N23" s="84" t="str">
        <f t="shared" si="2"/>
        <v/>
      </c>
      <c r="O23" s="84" t="str">
        <f t="shared" si="3"/>
        <v/>
      </c>
      <c r="P23" s="84" t="str">
        <f t="shared" si="4"/>
        <v/>
      </c>
      <c r="Q23" s="84" t="str">
        <f t="shared" si="5"/>
        <v/>
      </c>
      <c r="R23" s="84">
        <f t="shared" si="6"/>
        <v>163.99977000000001</v>
      </c>
      <c r="S23" s="84">
        <f t="shared" si="7"/>
        <v>163.99977000000001</v>
      </c>
      <c r="T23" s="84">
        <f t="shared" si="8"/>
        <v>163.99977000000001</v>
      </c>
      <c r="U23" s="84" t="str">
        <f t="shared" si="9"/>
        <v/>
      </c>
      <c r="V23" s="84" t="str">
        <f t="shared" si="10"/>
        <v/>
      </c>
      <c r="W23" s="84" t="str">
        <f t="shared" si="11"/>
        <v/>
      </c>
      <c r="X23" s="84" t="str">
        <f t="shared" si="12"/>
        <v/>
      </c>
      <c r="Y23" s="84" t="str">
        <f t="shared" si="13"/>
        <v/>
      </c>
      <c r="Z23" s="84" t="str">
        <f t="shared" si="14"/>
        <v/>
      </c>
      <c r="AA23" s="84" t="str">
        <f t="shared" si="15"/>
        <v/>
      </c>
      <c r="AB23" s="84" t="str">
        <f t="shared" si="16"/>
        <v/>
      </c>
      <c r="AC23" s="84" t="str">
        <f t="shared" si="17"/>
        <v/>
      </c>
      <c r="AD23" s="84" t="str">
        <f t="shared" si="18"/>
        <v/>
      </c>
      <c r="AE23" s="84" t="str">
        <f t="shared" si="19"/>
        <v/>
      </c>
      <c r="AF23" s="84">
        <f t="shared" si="20"/>
        <v>163.99977000000001</v>
      </c>
      <c r="AG23" s="84" t="str">
        <f t="shared" si="21"/>
        <v/>
      </c>
      <c r="AH23" s="84" t="str">
        <f t="shared" si="22"/>
        <v/>
      </c>
      <c r="AI23" s="84" t="str">
        <f t="shared" si="23"/>
        <v/>
      </c>
      <c r="AJ23" s="84" t="str">
        <f t="shared" si="24"/>
        <v/>
      </c>
      <c r="AK23" s="84" t="str">
        <f t="shared" si="25"/>
        <v/>
      </c>
      <c r="AL23" s="84">
        <f t="shared" si="26"/>
        <v>163.99977000000001</v>
      </c>
      <c r="AM23" s="84" t="str">
        <f t="shared" si="27"/>
        <v/>
      </c>
      <c r="AN23" s="84" t="str">
        <f t="shared" si="28"/>
        <v/>
      </c>
      <c r="AO23" s="84" t="str">
        <f t="shared" si="29"/>
        <v/>
      </c>
      <c r="AP23" s="84" t="str">
        <f t="shared" si="30"/>
        <v/>
      </c>
      <c r="AQ23" s="84" t="str">
        <f t="shared" si="31"/>
        <v/>
      </c>
      <c r="AR23" s="84">
        <f t="shared" si="32"/>
        <v>163.99977000000001</v>
      </c>
      <c r="AS23" s="84" t="str">
        <f t="shared" si="33"/>
        <v/>
      </c>
      <c r="AT23" s="84" t="str">
        <f t="shared" si="34"/>
        <v/>
      </c>
      <c r="AU23" s="84" t="str">
        <f t="shared" si="35"/>
        <v/>
      </c>
    </row>
    <row r="24" spans="1:47" ht="19" customHeight="1" x14ac:dyDescent="0.3">
      <c r="A24" s="57" t="s">
        <v>120</v>
      </c>
      <c r="B24" s="57"/>
      <c r="C24" s="57"/>
      <c r="D24" s="89">
        <f>持有情况!G88-ROW()*0.00001</f>
        <v>117.99975999999999</v>
      </c>
      <c r="E24" s="89">
        <v>2</v>
      </c>
      <c r="F24" s="89">
        <v>1</v>
      </c>
      <c r="G24" s="89">
        <v>1</v>
      </c>
      <c r="H24" s="89">
        <v>1</v>
      </c>
      <c r="I24" s="84" t="s">
        <v>293</v>
      </c>
      <c r="J24" s="89">
        <f>INT(60+6*路线!B17+15*路线!B31+40)-ROW()*0.00001</f>
        <v>117.99975999999999</v>
      </c>
      <c r="K24" s="1"/>
      <c r="L24" s="84" t="str">
        <f t="shared" si="0"/>
        <v/>
      </c>
      <c r="M24" s="84">
        <f t="shared" si="1"/>
        <v>117.99975999999999</v>
      </c>
      <c r="N24" s="84" t="str">
        <f t="shared" si="2"/>
        <v/>
      </c>
      <c r="O24" s="84" t="str">
        <f t="shared" si="3"/>
        <v/>
      </c>
      <c r="P24" s="84" t="str">
        <f t="shared" si="4"/>
        <v/>
      </c>
      <c r="Q24" s="84" t="str">
        <f t="shared" si="5"/>
        <v/>
      </c>
      <c r="R24" s="84" t="str">
        <f t="shared" si="6"/>
        <v/>
      </c>
      <c r="S24" s="84" t="str">
        <f t="shared" si="7"/>
        <v/>
      </c>
      <c r="T24" s="84" t="str">
        <f t="shared" si="8"/>
        <v/>
      </c>
      <c r="U24" s="84" t="str">
        <f t="shared" si="9"/>
        <v/>
      </c>
      <c r="V24" s="84" t="str">
        <f t="shared" si="10"/>
        <v/>
      </c>
      <c r="W24" s="84" t="str">
        <f t="shared" si="11"/>
        <v/>
      </c>
      <c r="X24" s="84">
        <f t="shared" si="12"/>
        <v>117.99975999999999</v>
      </c>
      <c r="Y24" s="84" t="str">
        <f t="shared" si="13"/>
        <v/>
      </c>
      <c r="Z24" s="84" t="str">
        <f t="shared" si="14"/>
        <v/>
      </c>
      <c r="AA24" s="84" t="str">
        <f t="shared" si="15"/>
        <v/>
      </c>
      <c r="AB24" s="84" t="str">
        <f t="shared" si="16"/>
        <v/>
      </c>
      <c r="AC24" s="84" t="str">
        <f t="shared" si="17"/>
        <v/>
      </c>
      <c r="AD24" s="84" t="str">
        <f t="shared" si="18"/>
        <v/>
      </c>
      <c r="AE24" s="84" t="str">
        <f t="shared" si="19"/>
        <v/>
      </c>
      <c r="AF24" s="84" t="str">
        <f t="shared" si="20"/>
        <v/>
      </c>
      <c r="AG24" s="84" t="str">
        <f t="shared" si="21"/>
        <v/>
      </c>
      <c r="AH24" s="84" t="str">
        <f t="shared" si="22"/>
        <v/>
      </c>
      <c r="AI24" s="84" t="str">
        <f t="shared" si="23"/>
        <v/>
      </c>
      <c r="AJ24" s="84" t="str">
        <f t="shared" si="24"/>
        <v/>
      </c>
      <c r="AK24" s="84" t="str">
        <f t="shared" si="25"/>
        <v/>
      </c>
      <c r="AL24" s="84" t="str">
        <f t="shared" si="26"/>
        <v/>
      </c>
      <c r="AM24" s="84">
        <f t="shared" si="27"/>
        <v>117.99975999999999</v>
      </c>
      <c r="AN24" s="84" t="str">
        <f t="shared" si="28"/>
        <v/>
      </c>
      <c r="AO24" s="84" t="str">
        <f t="shared" si="29"/>
        <v/>
      </c>
      <c r="AP24" s="84" t="str">
        <f t="shared" si="30"/>
        <v/>
      </c>
      <c r="AQ24" s="84" t="str">
        <f t="shared" si="31"/>
        <v/>
      </c>
      <c r="AR24" s="84" t="str">
        <f t="shared" si="32"/>
        <v/>
      </c>
      <c r="AS24" s="84" t="str">
        <f t="shared" si="33"/>
        <v/>
      </c>
      <c r="AT24" s="84" t="str">
        <f t="shared" si="34"/>
        <v/>
      </c>
      <c r="AU24" s="84" t="str">
        <f t="shared" si="35"/>
        <v/>
      </c>
    </row>
    <row r="25" spans="1:47" ht="19" customHeight="1" x14ac:dyDescent="0.3">
      <c r="A25" s="67" t="s">
        <v>35</v>
      </c>
      <c r="B25" s="67"/>
      <c r="C25" s="67"/>
      <c r="D25" s="89">
        <f>IF(路线!B4="计算",持有情况!BG17,持有情况!BE16)-ROW()*0.00001</f>
        <v>159.99975000000001</v>
      </c>
      <c r="E25" s="90">
        <v>0</v>
      </c>
      <c r="F25" s="90">
        <v>0</v>
      </c>
      <c r="G25" s="89">
        <v>3</v>
      </c>
      <c r="H25" s="90">
        <v>0</v>
      </c>
      <c r="I25" s="1"/>
      <c r="J25" s="89">
        <f>IF(路线!B4="计算",INT((6.4/100)*路线!B12+5*路线!B30+13*路线!B19+30+持有情况!AM15),INT((6.4/100)*路线!B12+5*路线!B30+13*路线!B19+30))-ROW()*0.00001</f>
        <v>159.99975000000001</v>
      </c>
      <c r="K25" s="1"/>
      <c r="L25" s="84" t="str">
        <f t="shared" si="0"/>
        <v/>
      </c>
      <c r="M25" s="84" t="str">
        <f t="shared" si="1"/>
        <v/>
      </c>
      <c r="N25" s="84" t="str">
        <f t="shared" si="2"/>
        <v/>
      </c>
      <c r="O25" s="84" t="str">
        <f t="shared" si="3"/>
        <v/>
      </c>
      <c r="P25" s="84" t="str">
        <f t="shared" si="4"/>
        <v/>
      </c>
      <c r="Q25" s="84" t="str">
        <f t="shared" si="5"/>
        <v/>
      </c>
      <c r="R25" s="84">
        <f t="shared" si="6"/>
        <v>159.99975000000001</v>
      </c>
      <c r="S25" s="84">
        <f t="shared" si="7"/>
        <v>159.99975000000001</v>
      </c>
      <c r="T25" s="84">
        <f t="shared" si="8"/>
        <v>159.99975000000001</v>
      </c>
      <c r="U25" s="84" t="str">
        <f t="shared" si="9"/>
        <v/>
      </c>
      <c r="V25" s="84" t="str">
        <f t="shared" si="10"/>
        <v/>
      </c>
      <c r="W25" s="84" t="str">
        <f t="shared" si="11"/>
        <v/>
      </c>
      <c r="X25" s="84" t="str">
        <f t="shared" si="12"/>
        <v/>
      </c>
      <c r="Y25" s="84" t="str">
        <f t="shared" si="13"/>
        <v/>
      </c>
      <c r="Z25" s="84" t="str">
        <f t="shared" si="14"/>
        <v/>
      </c>
      <c r="AA25" s="84" t="str">
        <f t="shared" si="15"/>
        <v/>
      </c>
      <c r="AB25" s="84" t="str">
        <f t="shared" si="16"/>
        <v/>
      </c>
      <c r="AC25" s="84" t="str">
        <f t="shared" si="17"/>
        <v/>
      </c>
      <c r="AD25" s="84" t="str">
        <f t="shared" si="18"/>
        <v/>
      </c>
      <c r="AE25" s="84" t="str">
        <f t="shared" si="19"/>
        <v/>
      </c>
      <c r="AF25" s="84">
        <f t="shared" si="20"/>
        <v>159.99975000000001</v>
      </c>
      <c r="AG25" s="84" t="str">
        <f t="shared" si="21"/>
        <v/>
      </c>
      <c r="AH25" s="84" t="str">
        <f t="shared" si="22"/>
        <v/>
      </c>
      <c r="AI25" s="84" t="str">
        <f t="shared" si="23"/>
        <v/>
      </c>
      <c r="AJ25" s="84" t="str">
        <f t="shared" si="24"/>
        <v/>
      </c>
      <c r="AK25" s="84" t="str">
        <f t="shared" si="25"/>
        <v/>
      </c>
      <c r="AL25" s="84">
        <f t="shared" si="26"/>
        <v>159.99975000000001</v>
      </c>
      <c r="AM25" s="84" t="str">
        <f t="shared" si="27"/>
        <v/>
      </c>
      <c r="AN25" s="84" t="str">
        <f t="shared" si="28"/>
        <v/>
      </c>
      <c r="AO25" s="84" t="str">
        <f t="shared" si="29"/>
        <v/>
      </c>
      <c r="AP25" s="84" t="str">
        <f t="shared" si="30"/>
        <v/>
      </c>
      <c r="AQ25" s="84" t="str">
        <f t="shared" si="31"/>
        <v/>
      </c>
      <c r="AR25" s="84">
        <f t="shared" si="32"/>
        <v>159.99975000000001</v>
      </c>
      <c r="AS25" s="84" t="str">
        <f t="shared" si="33"/>
        <v/>
      </c>
      <c r="AT25" s="84" t="str">
        <f t="shared" si="34"/>
        <v/>
      </c>
      <c r="AU25" s="84" t="str">
        <f t="shared" si="35"/>
        <v/>
      </c>
    </row>
    <row r="26" spans="1:47" ht="19" customHeight="1" x14ac:dyDescent="0.3">
      <c r="A26" s="67" t="s">
        <v>118</v>
      </c>
      <c r="B26" s="67"/>
      <c r="C26" s="67"/>
      <c r="D26" s="89">
        <f>IF(路线!B4="计算",持有情况!BG83,持有情况!BE82)-ROW()*0.00001</f>
        <v>198.99974</v>
      </c>
      <c r="E26" s="89">
        <v>3</v>
      </c>
      <c r="F26" s="90">
        <v>0</v>
      </c>
      <c r="G26" s="89">
        <v>3</v>
      </c>
      <c r="H26" s="90">
        <v>0</v>
      </c>
      <c r="I26" s="1"/>
      <c r="J26" s="89">
        <f>IF(路线!B4="计算",INT(45+6*路线!B29+17+5*路线!B30+30+持有情况!BG81),INT(45+6*路线!B29+17+5*路线!B30+30))-ROW()*0.00001</f>
        <v>198.99974</v>
      </c>
      <c r="K26" s="1"/>
      <c r="L26" s="84" t="str">
        <f t="shared" si="0"/>
        <v/>
      </c>
      <c r="M26" s="84" t="str">
        <f t="shared" si="1"/>
        <v/>
      </c>
      <c r="N26" s="84" t="str">
        <f t="shared" si="2"/>
        <v/>
      </c>
      <c r="O26" s="84" t="str">
        <f t="shared" si="3"/>
        <v/>
      </c>
      <c r="P26" s="84" t="str">
        <f t="shared" si="4"/>
        <v/>
      </c>
      <c r="Q26" s="84" t="str">
        <f t="shared" si="5"/>
        <v/>
      </c>
      <c r="R26" s="84" t="str">
        <f t="shared" si="6"/>
        <v/>
      </c>
      <c r="S26" s="84" t="str">
        <f t="shared" si="7"/>
        <v/>
      </c>
      <c r="T26" s="84">
        <f t="shared" si="8"/>
        <v>198.99974</v>
      </c>
      <c r="U26" s="84" t="str">
        <f t="shared" si="9"/>
        <v/>
      </c>
      <c r="V26" s="84" t="str">
        <f t="shared" si="10"/>
        <v/>
      </c>
      <c r="W26" s="84" t="str">
        <f t="shared" si="11"/>
        <v/>
      </c>
      <c r="X26" s="84" t="str">
        <f t="shared" si="12"/>
        <v/>
      </c>
      <c r="Y26" s="84" t="str">
        <f t="shared" si="13"/>
        <v/>
      </c>
      <c r="Z26" s="84" t="str">
        <f t="shared" si="14"/>
        <v/>
      </c>
      <c r="AA26" s="84" t="str">
        <f t="shared" si="15"/>
        <v/>
      </c>
      <c r="AB26" s="84" t="str">
        <f t="shared" si="16"/>
        <v/>
      </c>
      <c r="AC26" s="84" t="str">
        <f t="shared" si="17"/>
        <v/>
      </c>
      <c r="AD26" s="84" t="str">
        <f t="shared" si="18"/>
        <v/>
      </c>
      <c r="AE26" s="84" t="str">
        <f t="shared" si="19"/>
        <v/>
      </c>
      <c r="AF26" s="84" t="str">
        <f t="shared" si="20"/>
        <v/>
      </c>
      <c r="AG26" s="84" t="str">
        <f t="shared" si="21"/>
        <v/>
      </c>
      <c r="AH26" s="84" t="str">
        <f t="shared" si="22"/>
        <v/>
      </c>
      <c r="AI26" s="84" t="str">
        <f t="shared" si="23"/>
        <v/>
      </c>
      <c r="AJ26" s="84" t="str">
        <f t="shared" si="24"/>
        <v/>
      </c>
      <c r="AK26" s="84" t="str">
        <f t="shared" si="25"/>
        <v/>
      </c>
      <c r="AL26" s="84" t="str">
        <f t="shared" si="26"/>
        <v/>
      </c>
      <c r="AM26" s="84" t="str">
        <f t="shared" si="27"/>
        <v/>
      </c>
      <c r="AN26" s="84" t="str">
        <f t="shared" si="28"/>
        <v/>
      </c>
      <c r="AO26" s="84" t="str">
        <f t="shared" si="29"/>
        <v/>
      </c>
      <c r="AP26" s="84" t="str">
        <f t="shared" si="30"/>
        <v/>
      </c>
      <c r="AQ26" s="84" t="str">
        <f t="shared" si="31"/>
        <v/>
      </c>
      <c r="AR26" s="84">
        <f t="shared" si="32"/>
        <v>198.99974</v>
      </c>
      <c r="AS26" s="84" t="str">
        <f t="shared" si="33"/>
        <v/>
      </c>
      <c r="AT26" s="84" t="str">
        <f t="shared" si="34"/>
        <v/>
      </c>
      <c r="AU26" s="84" t="str">
        <f t="shared" si="35"/>
        <v/>
      </c>
    </row>
    <row r="27" spans="1:47" ht="19" customHeight="1" x14ac:dyDescent="0.3">
      <c r="A27" s="57" t="s">
        <v>48</v>
      </c>
      <c r="B27" s="57"/>
      <c r="C27" s="57"/>
      <c r="D27" s="89">
        <f>持有情况!G28-ROW()*0.00001</f>
        <v>169.99973</v>
      </c>
      <c r="E27" s="89">
        <v>1</v>
      </c>
      <c r="F27" s="90">
        <v>0</v>
      </c>
      <c r="G27" s="89">
        <v>1</v>
      </c>
      <c r="H27" s="89">
        <v>1</v>
      </c>
      <c r="I27" s="84" t="s">
        <v>294</v>
      </c>
      <c r="J27" s="89">
        <f>IF(路线!C6="计算",INT(路线!B12*(8.5/100)+7*路线!B29+13*路线!B18+40+20)-ROW()*0.00001,INT(路线!B12*(8.5/100)+7*路线!B29+13*路线!B18+40)-ROW()*0.00001)</f>
        <v>169.99973</v>
      </c>
      <c r="K27" s="1"/>
      <c r="L27" s="84">
        <f t="shared" si="0"/>
        <v>169.99973</v>
      </c>
      <c r="M27" s="84" t="str">
        <f t="shared" si="1"/>
        <v/>
      </c>
      <c r="N27" s="84" t="str">
        <f t="shared" si="2"/>
        <v/>
      </c>
      <c r="O27" s="84" t="str">
        <f t="shared" si="3"/>
        <v/>
      </c>
      <c r="P27" s="84" t="str">
        <f t="shared" si="4"/>
        <v/>
      </c>
      <c r="Q27" s="84" t="str">
        <f t="shared" si="5"/>
        <v/>
      </c>
      <c r="R27" s="84" t="str">
        <f t="shared" si="6"/>
        <v/>
      </c>
      <c r="S27" s="84" t="str">
        <f t="shared" si="7"/>
        <v/>
      </c>
      <c r="T27" s="84" t="str">
        <f t="shared" si="8"/>
        <v/>
      </c>
      <c r="U27" s="84" t="str">
        <f t="shared" si="9"/>
        <v/>
      </c>
      <c r="V27" s="84" t="str">
        <f t="shared" si="10"/>
        <v/>
      </c>
      <c r="W27" s="84" t="str">
        <f t="shared" si="11"/>
        <v/>
      </c>
      <c r="X27" s="84" t="str">
        <f t="shared" si="12"/>
        <v/>
      </c>
      <c r="Y27" s="84" t="str">
        <f t="shared" si="13"/>
        <v/>
      </c>
      <c r="Z27" s="84" t="str">
        <f t="shared" si="14"/>
        <v/>
      </c>
      <c r="AA27" s="84" t="str">
        <f t="shared" si="15"/>
        <v/>
      </c>
      <c r="AB27" s="84" t="str">
        <f t="shared" si="16"/>
        <v/>
      </c>
      <c r="AC27" s="84" t="str">
        <f t="shared" si="17"/>
        <v/>
      </c>
      <c r="AD27" s="84">
        <f t="shared" si="18"/>
        <v>169.99973</v>
      </c>
      <c r="AE27" s="84" t="str">
        <f t="shared" si="19"/>
        <v/>
      </c>
      <c r="AF27" s="84" t="str">
        <f t="shared" si="20"/>
        <v/>
      </c>
      <c r="AG27" s="84" t="str">
        <f t="shared" si="21"/>
        <v/>
      </c>
      <c r="AH27" s="84" t="str">
        <f t="shared" si="22"/>
        <v/>
      </c>
      <c r="AI27" s="84" t="str">
        <f t="shared" si="23"/>
        <v/>
      </c>
      <c r="AJ27" s="84" t="str">
        <f t="shared" si="24"/>
        <v/>
      </c>
      <c r="AK27" s="84" t="str">
        <f t="shared" si="25"/>
        <v/>
      </c>
      <c r="AL27" s="84" t="str">
        <f t="shared" si="26"/>
        <v/>
      </c>
      <c r="AM27" s="84" t="str">
        <f t="shared" si="27"/>
        <v/>
      </c>
      <c r="AN27" s="84" t="str">
        <f t="shared" si="28"/>
        <v/>
      </c>
      <c r="AO27" s="84" t="str">
        <f t="shared" si="29"/>
        <v/>
      </c>
      <c r="AP27" s="84" t="str">
        <f t="shared" si="30"/>
        <v/>
      </c>
      <c r="AQ27" s="84" t="str">
        <f t="shared" si="31"/>
        <v/>
      </c>
      <c r="AR27" s="84" t="str">
        <f t="shared" si="32"/>
        <v/>
      </c>
      <c r="AS27" s="84" t="str">
        <f t="shared" si="33"/>
        <v/>
      </c>
      <c r="AT27" s="84" t="str">
        <f t="shared" si="34"/>
        <v/>
      </c>
      <c r="AU27" s="84" t="str">
        <f t="shared" si="35"/>
        <v/>
      </c>
    </row>
    <row r="28" spans="1:47" ht="19" customHeight="1" x14ac:dyDescent="0.3">
      <c r="A28" s="75" t="s">
        <v>31</v>
      </c>
      <c r="B28" s="75"/>
      <c r="C28" s="75"/>
      <c r="D28" s="89">
        <f>持有情况!Q16-ROW()*0.00001</f>
        <v>169.99972</v>
      </c>
      <c r="E28" s="89">
        <v>2</v>
      </c>
      <c r="F28" s="90">
        <v>0</v>
      </c>
      <c r="G28" s="89">
        <v>2</v>
      </c>
      <c r="H28" s="89">
        <v>1</v>
      </c>
      <c r="I28" s="84" t="s">
        <v>295</v>
      </c>
      <c r="J28" s="89">
        <f>IF(路线!C6="计算",INT(路线!B12*(8.5/100)+7*路线!B29+13*路线!B18+40+20)-ROW()*0.00001,INT(路线!B12*(8.5/100)+7*路线!B29+13*路线!B18+40)-ROW()*0.00001)</f>
        <v>169.99972</v>
      </c>
      <c r="K28" s="1"/>
      <c r="L28" s="84" t="str">
        <f t="shared" si="0"/>
        <v/>
      </c>
      <c r="M28" s="84" t="str">
        <f t="shared" si="1"/>
        <v/>
      </c>
      <c r="N28" s="84" t="str">
        <f t="shared" si="2"/>
        <v/>
      </c>
      <c r="O28" s="84" t="str">
        <f t="shared" si="3"/>
        <v/>
      </c>
      <c r="P28" s="84">
        <f t="shared" si="4"/>
        <v>169.99972</v>
      </c>
      <c r="Q28" s="84" t="str">
        <f t="shared" si="5"/>
        <v/>
      </c>
      <c r="R28" s="84" t="str">
        <f t="shared" si="6"/>
        <v/>
      </c>
      <c r="S28" s="84" t="str">
        <f t="shared" si="7"/>
        <v/>
      </c>
      <c r="T28" s="84" t="str">
        <f t="shared" si="8"/>
        <v/>
      </c>
      <c r="U28" s="84" t="str">
        <f t="shared" si="9"/>
        <v/>
      </c>
      <c r="V28" s="84" t="str">
        <f t="shared" si="10"/>
        <v/>
      </c>
      <c r="W28" s="84" t="str">
        <f t="shared" si="11"/>
        <v/>
      </c>
      <c r="X28" s="84" t="str">
        <f t="shared" si="12"/>
        <v/>
      </c>
      <c r="Y28" s="84" t="str">
        <f t="shared" si="13"/>
        <v/>
      </c>
      <c r="Z28" s="84" t="str">
        <f t="shared" si="14"/>
        <v/>
      </c>
      <c r="AA28" s="84" t="str">
        <f t="shared" si="15"/>
        <v/>
      </c>
      <c r="AB28" s="84" t="str">
        <f t="shared" si="16"/>
        <v/>
      </c>
      <c r="AC28" s="84" t="str">
        <f t="shared" si="17"/>
        <v/>
      </c>
      <c r="AD28" s="84" t="str">
        <f t="shared" si="18"/>
        <v/>
      </c>
      <c r="AE28" s="84" t="str">
        <f t="shared" si="19"/>
        <v/>
      </c>
      <c r="AF28" s="84" t="str">
        <f t="shared" si="20"/>
        <v/>
      </c>
      <c r="AG28" s="84" t="str">
        <f t="shared" si="21"/>
        <v/>
      </c>
      <c r="AH28" s="84" t="str">
        <f t="shared" si="22"/>
        <v/>
      </c>
      <c r="AI28" s="84" t="str">
        <f t="shared" si="23"/>
        <v/>
      </c>
      <c r="AJ28" s="84" t="str">
        <f t="shared" si="24"/>
        <v/>
      </c>
      <c r="AK28" s="84">
        <f t="shared" si="25"/>
        <v>169.99972</v>
      </c>
      <c r="AL28" s="84" t="str">
        <f t="shared" si="26"/>
        <v/>
      </c>
      <c r="AM28" s="84" t="str">
        <f t="shared" si="27"/>
        <v/>
      </c>
      <c r="AN28" s="84" t="str">
        <f t="shared" si="28"/>
        <v/>
      </c>
      <c r="AO28" s="84" t="str">
        <f t="shared" si="29"/>
        <v/>
      </c>
      <c r="AP28" s="84" t="str">
        <f t="shared" si="30"/>
        <v/>
      </c>
      <c r="AQ28" s="84" t="str">
        <f t="shared" si="31"/>
        <v/>
      </c>
      <c r="AR28" s="84" t="str">
        <f t="shared" si="32"/>
        <v/>
      </c>
      <c r="AS28" s="84" t="str">
        <f t="shared" si="33"/>
        <v/>
      </c>
      <c r="AT28" s="84" t="str">
        <f t="shared" si="34"/>
        <v/>
      </c>
      <c r="AU28" s="84" t="str">
        <f t="shared" si="35"/>
        <v/>
      </c>
    </row>
    <row r="29" spans="1:47" ht="19" customHeight="1" x14ac:dyDescent="0.3">
      <c r="A29" s="75" t="s">
        <v>134</v>
      </c>
      <c r="B29" s="75"/>
      <c r="C29" s="75"/>
      <c r="D29" s="89">
        <f>持有情况!Q100-ROW()*0.00001</f>
        <v>186.99970999999999</v>
      </c>
      <c r="E29" s="90">
        <v>0</v>
      </c>
      <c r="F29" s="89">
        <v>1</v>
      </c>
      <c r="G29" s="89">
        <v>2</v>
      </c>
      <c r="H29" s="89">
        <v>1</v>
      </c>
      <c r="I29" s="84" t="s">
        <v>296</v>
      </c>
      <c r="J29" s="89">
        <f>INT(60+17*路线!B18+3*路线!B24+40)-ROW()*0.00001</f>
        <v>186.99970999999999</v>
      </c>
      <c r="K29" s="1"/>
      <c r="L29" s="84" t="str">
        <f t="shared" si="0"/>
        <v/>
      </c>
      <c r="M29" s="84" t="str">
        <f t="shared" si="1"/>
        <v/>
      </c>
      <c r="N29" s="84" t="str">
        <f t="shared" si="2"/>
        <v/>
      </c>
      <c r="O29" s="84">
        <f t="shared" si="3"/>
        <v>186.99970999999999</v>
      </c>
      <c r="P29" s="84">
        <f t="shared" si="4"/>
        <v>186.99970999999999</v>
      </c>
      <c r="Q29" s="84">
        <f t="shared" si="5"/>
        <v>186.99970999999999</v>
      </c>
      <c r="R29" s="84" t="str">
        <f t="shared" si="6"/>
        <v/>
      </c>
      <c r="S29" s="84" t="str">
        <f t="shared" si="7"/>
        <v/>
      </c>
      <c r="T29" s="84" t="str">
        <f t="shared" si="8"/>
        <v/>
      </c>
      <c r="U29" s="84" t="str">
        <f t="shared" si="9"/>
        <v/>
      </c>
      <c r="V29" s="84">
        <f t="shared" si="10"/>
        <v>186.99970999999999</v>
      </c>
      <c r="W29" s="84" t="str">
        <f t="shared" si="11"/>
        <v/>
      </c>
      <c r="X29" s="84" t="str">
        <f t="shared" si="12"/>
        <v/>
      </c>
      <c r="Y29" s="84">
        <f t="shared" si="13"/>
        <v>186.99970999999999</v>
      </c>
      <c r="Z29" s="84" t="str">
        <f t="shared" si="14"/>
        <v/>
      </c>
      <c r="AA29" s="84" t="str">
        <f t="shared" si="15"/>
        <v/>
      </c>
      <c r="AB29" s="84">
        <f t="shared" si="16"/>
        <v>186.99970999999999</v>
      </c>
      <c r="AC29" s="84" t="str">
        <f t="shared" si="17"/>
        <v/>
      </c>
      <c r="AD29" s="84" t="str">
        <f t="shared" si="18"/>
        <v/>
      </c>
      <c r="AE29" s="84" t="str">
        <f t="shared" si="19"/>
        <v/>
      </c>
      <c r="AF29" s="84" t="str">
        <f t="shared" si="20"/>
        <v/>
      </c>
      <c r="AG29" s="84" t="str">
        <f t="shared" si="21"/>
        <v/>
      </c>
      <c r="AH29" s="84">
        <f t="shared" si="22"/>
        <v>186.99970999999999</v>
      </c>
      <c r="AI29" s="84" t="str">
        <f t="shared" si="23"/>
        <v/>
      </c>
      <c r="AJ29" s="84" t="str">
        <f t="shared" si="24"/>
        <v/>
      </c>
      <c r="AK29" s="84" t="str">
        <f t="shared" si="25"/>
        <v/>
      </c>
      <c r="AL29" s="84" t="str">
        <f t="shared" si="26"/>
        <v/>
      </c>
      <c r="AM29" s="84" t="str">
        <f t="shared" si="27"/>
        <v/>
      </c>
      <c r="AN29" s="84">
        <f t="shared" si="28"/>
        <v>186.99970999999999</v>
      </c>
      <c r="AO29" s="84" t="str">
        <f t="shared" si="29"/>
        <v/>
      </c>
      <c r="AP29" s="84" t="str">
        <f t="shared" si="30"/>
        <v/>
      </c>
      <c r="AQ29" s="84" t="str">
        <f t="shared" si="31"/>
        <v/>
      </c>
      <c r="AR29" s="84" t="str">
        <f t="shared" si="32"/>
        <v/>
      </c>
      <c r="AS29" s="84" t="str">
        <f t="shared" si="33"/>
        <v/>
      </c>
      <c r="AT29" s="84">
        <f t="shared" si="34"/>
        <v>186.99970999999999</v>
      </c>
      <c r="AU29" s="84" t="str">
        <f t="shared" si="35"/>
        <v/>
      </c>
    </row>
    <row r="30" spans="1:47" ht="19" customHeight="1" x14ac:dyDescent="0.3">
      <c r="A30" s="67" t="s">
        <v>32</v>
      </c>
      <c r="B30" s="67"/>
      <c r="C30" s="67"/>
      <c r="D30" s="89">
        <f>持有情况!AA16-ROW()*0.00001</f>
        <v>186.99969999999999</v>
      </c>
      <c r="E30" s="90">
        <v>0</v>
      </c>
      <c r="F30" s="89">
        <v>1</v>
      </c>
      <c r="G30" s="89">
        <v>3</v>
      </c>
      <c r="H30" s="89">
        <v>1</v>
      </c>
      <c r="I30" s="84" t="s">
        <v>297</v>
      </c>
      <c r="J30" s="89">
        <f>INT(60+17*路线!B18+3*路线!B24+40)-ROW()*0.00001</f>
        <v>186.99969999999999</v>
      </c>
      <c r="K30" s="1"/>
      <c r="L30" s="84" t="str">
        <f t="shared" si="0"/>
        <v/>
      </c>
      <c r="M30" s="84" t="str">
        <f t="shared" si="1"/>
        <v/>
      </c>
      <c r="N30" s="84" t="str">
        <f t="shared" si="2"/>
        <v/>
      </c>
      <c r="O30" s="84" t="str">
        <f t="shared" si="3"/>
        <v/>
      </c>
      <c r="P30" s="84" t="str">
        <f t="shared" si="4"/>
        <v/>
      </c>
      <c r="Q30" s="84" t="str">
        <f t="shared" si="5"/>
        <v/>
      </c>
      <c r="R30" s="84">
        <f t="shared" si="6"/>
        <v>186.99969999999999</v>
      </c>
      <c r="S30" s="84">
        <f t="shared" si="7"/>
        <v>186.99969999999999</v>
      </c>
      <c r="T30" s="84">
        <f t="shared" si="8"/>
        <v>186.99969999999999</v>
      </c>
      <c r="U30" s="84" t="str">
        <f t="shared" si="9"/>
        <v/>
      </c>
      <c r="V30" s="84" t="str">
        <f t="shared" si="10"/>
        <v/>
      </c>
      <c r="W30" s="84">
        <f t="shared" si="11"/>
        <v>186.99969999999999</v>
      </c>
      <c r="X30" s="84" t="str">
        <f t="shared" si="12"/>
        <v/>
      </c>
      <c r="Y30" s="84" t="str">
        <f t="shared" si="13"/>
        <v/>
      </c>
      <c r="Z30" s="84">
        <f t="shared" si="14"/>
        <v>186.99969999999999</v>
      </c>
      <c r="AA30" s="84" t="str">
        <f t="shared" si="15"/>
        <v/>
      </c>
      <c r="AB30" s="84" t="str">
        <f t="shared" si="16"/>
        <v/>
      </c>
      <c r="AC30" s="84">
        <f t="shared" si="17"/>
        <v>186.99969999999999</v>
      </c>
      <c r="AD30" s="84" t="str">
        <f t="shared" si="18"/>
        <v/>
      </c>
      <c r="AE30" s="84" t="str">
        <f t="shared" si="19"/>
        <v/>
      </c>
      <c r="AF30" s="84" t="str">
        <f t="shared" si="20"/>
        <v/>
      </c>
      <c r="AG30" s="84" t="str">
        <f t="shared" si="21"/>
        <v/>
      </c>
      <c r="AH30" s="84" t="str">
        <f t="shared" si="22"/>
        <v/>
      </c>
      <c r="AI30" s="84">
        <f t="shared" si="23"/>
        <v>186.99969999999999</v>
      </c>
      <c r="AJ30" s="84" t="str">
        <f t="shared" si="24"/>
        <v/>
      </c>
      <c r="AK30" s="84" t="str">
        <f t="shared" si="25"/>
        <v/>
      </c>
      <c r="AL30" s="84" t="str">
        <f t="shared" si="26"/>
        <v/>
      </c>
      <c r="AM30" s="84" t="str">
        <f t="shared" si="27"/>
        <v/>
      </c>
      <c r="AN30" s="84" t="str">
        <f t="shared" si="28"/>
        <v/>
      </c>
      <c r="AO30" s="84">
        <f t="shared" si="29"/>
        <v>186.99969999999999</v>
      </c>
      <c r="AP30" s="84" t="str">
        <f t="shared" si="30"/>
        <v/>
      </c>
      <c r="AQ30" s="84" t="str">
        <f t="shared" si="31"/>
        <v/>
      </c>
      <c r="AR30" s="84" t="str">
        <f t="shared" si="32"/>
        <v/>
      </c>
      <c r="AS30" s="84" t="str">
        <f t="shared" si="33"/>
        <v/>
      </c>
      <c r="AT30" s="84" t="str">
        <f t="shared" si="34"/>
        <v/>
      </c>
      <c r="AU30" s="84">
        <f t="shared" si="35"/>
        <v>186.99969999999999</v>
      </c>
    </row>
    <row r="31" spans="1:47" ht="19" customHeight="1" x14ac:dyDescent="0.3">
      <c r="A31" s="67" t="s">
        <v>114</v>
      </c>
      <c r="B31" s="67"/>
      <c r="C31" s="67"/>
      <c r="D31" s="89">
        <f>持有情况!AA82-ROW()*0.00001</f>
        <v>169.99968999999999</v>
      </c>
      <c r="E31" s="89">
        <v>3</v>
      </c>
      <c r="F31" s="90">
        <v>0</v>
      </c>
      <c r="G31" s="89">
        <v>3</v>
      </c>
      <c r="H31" s="89">
        <v>1</v>
      </c>
      <c r="I31" s="84" t="s">
        <v>298</v>
      </c>
      <c r="J31" s="89">
        <f>IF(路线!C6="计算",INT(路线!B12*(8.5/100)+7*路线!B29+13*路线!B18+40+20)-ROW()*0.00001,INT(路线!B12*(8.5/100)+7*路线!B29+13*路线!B18+40)-ROW()*0.00001)</f>
        <v>169.99968999999999</v>
      </c>
      <c r="K31" s="1"/>
      <c r="L31" s="84" t="str">
        <f t="shared" si="0"/>
        <v/>
      </c>
      <c r="M31" s="84" t="str">
        <f t="shared" si="1"/>
        <v/>
      </c>
      <c r="N31" s="84" t="str">
        <f t="shared" si="2"/>
        <v/>
      </c>
      <c r="O31" s="84" t="str">
        <f t="shared" si="3"/>
        <v/>
      </c>
      <c r="P31" s="84" t="str">
        <f t="shared" si="4"/>
        <v/>
      </c>
      <c r="Q31" s="84" t="str">
        <f t="shared" si="5"/>
        <v/>
      </c>
      <c r="R31" s="84" t="str">
        <f t="shared" si="6"/>
        <v/>
      </c>
      <c r="S31" s="84" t="str">
        <f t="shared" si="7"/>
        <v/>
      </c>
      <c r="T31" s="84">
        <f t="shared" si="8"/>
        <v>169.99968999999999</v>
      </c>
      <c r="U31" s="84" t="str">
        <f t="shared" si="9"/>
        <v/>
      </c>
      <c r="V31" s="84" t="str">
        <f t="shared" si="10"/>
        <v/>
      </c>
      <c r="W31" s="84" t="str">
        <f t="shared" si="11"/>
        <v/>
      </c>
      <c r="X31" s="84" t="str">
        <f t="shared" si="12"/>
        <v/>
      </c>
      <c r="Y31" s="84" t="str">
        <f t="shared" si="13"/>
        <v/>
      </c>
      <c r="Z31" s="84" t="str">
        <f t="shared" si="14"/>
        <v/>
      </c>
      <c r="AA31" s="84" t="str">
        <f t="shared" si="15"/>
        <v/>
      </c>
      <c r="AB31" s="84" t="str">
        <f t="shared" si="16"/>
        <v/>
      </c>
      <c r="AC31" s="84" t="str">
        <f t="shared" si="17"/>
        <v/>
      </c>
      <c r="AD31" s="84" t="str">
        <f t="shared" si="18"/>
        <v/>
      </c>
      <c r="AE31" s="84" t="str">
        <f t="shared" si="19"/>
        <v/>
      </c>
      <c r="AF31" s="84" t="str">
        <f t="shared" si="20"/>
        <v/>
      </c>
      <c r="AG31" s="84" t="str">
        <f t="shared" si="21"/>
        <v/>
      </c>
      <c r="AH31" s="84" t="str">
        <f t="shared" si="22"/>
        <v/>
      </c>
      <c r="AI31" s="84" t="str">
        <f t="shared" si="23"/>
        <v/>
      </c>
      <c r="AJ31" s="84" t="str">
        <f t="shared" si="24"/>
        <v/>
      </c>
      <c r="AK31" s="84" t="str">
        <f t="shared" si="25"/>
        <v/>
      </c>
      <c r="AL31" s="84" t="str">
        <f t="shared" si="26"/>
        <v/>
      </c>
      <c r="AM31" s="84" t="str">
        <f t="shared" si="27"/>
        <v/>
      </c>
      <c r="AN31" s="84" t="str">
        <f t="shared" si="28"/>
        <v/>
      </c>
      <c r="AO31" s="84" t="str">
        <f t="shared" si="29"/>
        <v/>
      </c>
      <c r="AP31" s="84" t="str">
        <f t="shared" si="30"/>
        <v/>
      </c>
      <c r="AQ31" s="84" t="str">
        <f t="shared" si="31"/>
        <v/>
      </c>
      <c r="AR31" s="84">
        <f t="shared" si="32"/>
        <v>169.99968999999999</v>
      </c>
      <c r="AS31" s="84" t="str">
        <f t="shared" si="33"/>
        <v/>
      </c>
      <c r="AT31" s="84" t="str">
        <f t="shared" si="34"/>
        <v/>
      </c>
      <c r="AU31" s="84" t="str">
        <f t="shared" si="35"/>
        <v/>
      </c>
    </row>
    <row r="32" spans="1:47" ht="19" customHeight="1" x14ac:dyDescent="0.3">
      <c r="A32" s="57" t="s">
        <v>78</v>
      </c>
      <c r="B32" s="57"/>
      <c r="C32" s="57"/>
      <c r="D32" s="89">
        <f>持有情况!G52-ROW()*0.00001</f>
        <v>169.99968000000001</v>
      </c>
      <c r="E32" s="89">
        <v>1</v>
      </c>
      <c r="F32" s="90">
        <v>0</v>
      </c>
      <c r="G32" s="89">
        <v>1</v>
      </c>
      <c r="H32" s="89">
        <v>1</v>
      </c>
      <c r="I32" s="84" t="s">
        <v>299</v>
      </c>
      <c r="J32" s="89">
        <f>INT((8.5/100)*路线!B12+17*路线!B18+11*路线!B39+40)-ROW()*0.00001</f>
        <v>169.99968000000001</v>
      </c>
      <c r="K32" s="1"/>
      <c r="L32" s="84">
        <f t="shared" si="0"/>
        <v>169.99968000000001</v>
      </c>
      <c r="M32" s="84" t="str">
        <f t="shared" si="1"/>
        <v/>
      </c>
      <c r="N32" s="84" t="str">
        <f t="shared" si="2"/>
        <v/>
      </c>
      <c r="O32" s="84" t="str">
        <f t="shared" si="3"/>
        <v/>
      </c>
      <c r="P32" s="84" t="str">
        <f t="shared" si="4"/>
        <v/>
      </c>
      <c r="Q32" s="84" t="str">
        <f t="shared" si="5"/>
        <v/>
      </c>
      <c r="R32" s="84" t="str">
        <f t="shared" si="6"/>
        <v/>
      </c>
      <c r="S32" s="84" t="str">
        <f t="shared" si="7"/>
        <v/>
      </c>
      <c r="T32" s="84" t="str">
        <f t="shared" si="8"/>
        <v/>
      </c>
      <c r="U32" s="84" t="str">
        <f t="shared" si="9"/>
        <v/>
      </c>
      <c r="V32" s="84" t="str">
        <f t="shared" si="10"/>
        <v/>
      </c>
      <c r="W32" s="84" t="str">
        <f t="shared" si="11"/>
        <v/>
      </c>
      <c r="X32" s="84" t="str">
        <f t="shared" si="12"/>
        <v/>
      </c>
      <c r="Y32" s="84" t="str">
        <f t="shared" si="13"/>
        <v/>
      </c>
      <c r="Z32" s="84" t="str">
        <f t="shared" si="14"/>
        <v/>
      </c>
      <c r="AA32" s="84" t="str">
        <f t="shared" si="15"/>
        <v/>
      </c>
      <c r="AB32" s="84" t="str">
        <f t="shared" si="16"/>
        <v/>
      </c>
      <c r="AC32" s="84" t="str">
        <f t="shared" si="17"/>
        <v/>
      </c>
      <c r="AD32" s="84">
        <f t="shared" si="18"/>
        <v>169.99968000000001</v>
      </c>
      <c r="AE32" s="84" t="str">
        <f t="shared" si="19"/>
        <v/>
      </c>
      <c r="AF32" s="84" t="str">
        <f t="shared" si="20"/>
        <v/>
      </c>
      <c r="AG32" s="84" t="str">
        <f t="shared" si="21"/>
        <v/>
      </c>
      <c r="AH32" s="84" t="str">
        <f t="shared" si="22"/>
        <v/>
      </c>
      <c r="AI32" s="84" t="str">
        <f t="shared" si="23"/>
        <v/>
      </c>
      <c r="AJ32" s="84" t="str">
        <f t="shared" si="24"/>
        <v/>
      </c>
      <c r="AK32" s="84" t="str">
        <f t="shared" si="25"/>
        <v/>
      </c>
      <c r="AL32" s="84" t="str">
        <f t="shared" si="26"/>
        <v/>
      </c>
      <c r="AM32" s="84" t="str">
        <f t="shared" si="27"/>
        <v/>
      </c>
      <c r="AN32" s="84" t="str">
        <f t="shared" si="28"/>
        <v/>
      </c>
      <c r="AO32" s="84" t="str">
        <f t="shared" si="29"/>
        <v/>
      </c>
      <c r="AP32" s="84" t="str">
        <f t="shared" si="30"/>
        <v/>
      </c>
      <c r="AQ32" s="84" t="str">
        <f t="shared" si="31"/>
        <v/>
      </c>
      <c r="AR32" s="84" t="str">
        <f t="shared" si="32"/>
        <v/>
      </c>
      <c r="AS32" s="84" t="str">
        <f t="shared" si="33"/>
        <v/>
      </c>
      <c r="AT32" s="84" t="str">
        <f t="shared" si="34"/>
        <v/>
      </c>
      <c r="AU32" s="84" t="str">
        <f t="shared" si="35"/>
        <v/>
      </c>
    </row>
    <row r="33" spans="1:47" ht="19" customHeight="1" x14ac:dyDescent="0.3">
      <c r="A33" s="75" t="s">
        <v>64</v>
      </c>
      <c r="B33" s="75"/>
      <c r="C33" s="75"/>
      <c r="D33" s="89">
        <f>持有情况!Q40-ROW()*0.00001</f>
        <v>172.99967000000001</v>
      </c>
      <c r="E33" s="89">
        <v>2</v>
      </c>
      <c r="F33" s="89">
        <v>1</v>
      </c>
      <c r="G33" s="89">
        <v>2</v>
      </c>
      <c r="H33" s="89">
        <v>1</v>
      </c>
      <c r="I33" s="84" t="s">
        <v>300</v>
      </c>
      <c r="J33" s="89">
        <f>INT(60+17*路线!B18+22+40)-ROW()*0.00001</f>
        <v>172.99967000000001</v>
      </c>
      <c r="K33" s="1"/>
      <c r="L33" s="84" t="str">
        <f t="shared" si="0"/>
        <v/>
      </c>
      <c r="M33" s="84" t="str">
        <f t="shared" si="1"/>
        <v/>
      </c>
      <c r="N33" s="84" t="str">
        <f t="shared" si="2"/>
        <v/>
      </c>
      <c r="O33" s="84" t="str">
        <f t="shared" si="3"/>
        <v/>
      </c>
      <c r="P33" s="84">
        <f t="shared" si="4"/>
        <v>172.99967000000001</v>
      </c>
      <c r="Q33" s="84" t="str">
        <f t="shared" si="5"/>
        <v/>
      </c>
      <c r="R33" s="84" t="str">
        <f t="shared" si="6"/>
        <v/>
      </c>
      <c r="S33" s="84" t="str">
        <f t="shared" si="7"/>
        <v/>
      </c>
      <c r="T33" s="84" t="str">
        <f t="shared" si="8"/>
        <v/>
      </c>
      <c r="U33" s="84" t="str">
        <f t="shared" si="9"/>
        <v/>
      </c>
      <c r="V33" s="84" t="str">
        <f t="shared" si="10"/>
        <v/>
      </c>
      <c r="W33" s="84" t="str">
        <f t="shared" si="11"/>
        <v/>
      </c>
      <c r="X33" s="84" t="str">
        <f t="shared" si="12"/>
        <v/>
      </c>
      <c r="Y33" s="84">
        <f t="shared" si="13"/>
        <v>172.99967000000001</v>
      </c>
      <c r="Z33" s="84" t="str">
        <f t="shared" si="14"/>
        <v/>
      </c>
      <c r="AA33" s="84" t="str">
        <f t="shared" si="15"/>
        <v/>
      </c>
      <c r="AB33" s="84" t="str">
        <f t="shared" si="16"/>
        <v/>
      </c>
      <c r="AC33" s="84" t="str">
        <f t="shared" si="17"/>
        <v/>
      </c>
      <c r="AD33" s="84" t="str">
        <f t="shared" si="18"/>
        <v/>
      </c>
      <c r="AE33" s="84" t="str">
        <f t="shared" si="19"/>
        <v/>
      </c>
      <c r="AF33" s="84" t="str">
        <f t="shared" si="20"/>
        <v/>
      </c>
      <c r="AG33" s="84" t="str">
        <f t="shared" si="21"/>
        <v/>
      </c>
      <c r="AH33" s="84" t="str">
        <f t="shared" si="22"/>
        <v/>
      </c>
      <c r="AI33" s="84" t="str">
        <f t="shared" si="23"/>
        <v/>
      </c>
      <c r="AJ33" s="84" t="str">
        <f t="shared" si="24"/>
        <v/>
      </c>
      <c r="AK33" s="84" t="str">
        <f t="shared" si="25"/>
        <v/>
      </c>
      <c r="AL33" s="84" t="str">
        <f t="shared" si="26"/>
        <v/>
      </c>
      <c r="AM33" s="84" t="str">
        <f t="shared" si="27"/>
        <v/>
      </c>
      <c r="AN33" s="84">
        <f t="shared" si="28"/>
        <v>172.99967000000001</v>
      </c>
      <c r="AO33" s="84" t="str">
        <f t="shared" si="29"/>
        <v/>
      </c>
      <c r="AP33" s="84" t="str">
        <f t="shared" si="30"/>
        <v/>
      </c>
      <c r="AQ33" s="84" t="str">
        <f t="shared" si="31"/>
        <v/>
      </c>
      <c r="AR33" s="84" t="str">
        <f t="shared" si="32"/>
        <v/>
      </c>
      <c r="AS33" s="84" t="str">
        <f t="shared" si="33"/>
        <v/>
      </c>
      <c r="AT33" s="84" t="str">
        <f t="shared" si="34"/>
        <v/>
      </c>
      <c r="AU33" s="84" t="str">
        <f t="shared" si="35"/>
        <v/>
      </c>
    </row>
    <row r="34" spans="1:47" ht="19" customHeight="1" x14ac:dyDescent="0.3">
      <c r="A34" s="75" t="s">
        <v>42</v>
      </c>
      <c r="B34" s="75"/>
      <c r="C34" s="75"/>
      <c r="D34" s="89">
        <f>持有情况!Q22-ROW()*0.00001</f>
        <v>186.99966000000001</v>
      </c>
      <c r="E34" s="90">
        <v>0</v>
      </c>
      <c r="F34" s="89">
        <v>1</v>
      </c>
      <c r="G34" s="89">
        <v>2</v>
      </c>
      <c r="H34" s="89">
        <v>1</v>
      </c>
      <c r="I34" s="84" t="s">
        <v>301</v>
      </c>
      <c r="J34" s="89">
        <f>IF(路线!C6="计算",INT(60+17*路线!B18+4*(路线!B28+路线!B29)+40+20)-ROW()*0.00001,INT(60+17*路线!B18+4*(路线!B28+路线!B29)+40)-ROW()*0.00001)</f>
        <v>186.99966000000001</v>
      </c>
      <c r="K34" s="1"/>
      <c r="L34" s="84" t="str">
        <f t="shared" ref="L34:L65" si="36">IF(AND(OR(E34=1,E34=0),G34=1),D34,"")</f>
        <v/>
      </c>
      <c r="M34" s="84" t="str">
        <f t="shared" ref="M34:M65" si="37">IF(AND(OR(E34=2,E34=0),G34=1),D34,"")</f>
        <v/>
      </c>
      <c r="N34" s="84" t="str">
        <f t="shared" ref="N34:N65" si="38">IF(AND(OR(E34=3,E34=0),G34=1),D34,"")</f>
        <v/>
      </c>
      <c r="O34" s="84">
        <f t="shared" ref="O34:O65" si="39">IF(AND(OR(E34=1,E34=0),G34=2),D34,"")</f>
        <v>186.99966000000001</v>
      </c>
      <c r="P34" s="84">
        <f t="shared" ref="P34:P65" si="40">IF(AND(OR(E34=2,E34=0),G34=2),D34,"")</f>
        <v>186.99966000000001</v>
      </c>
      <c r="Q34" s="84">
        <f t="shared" ref="Q34:Q65" si="41">IF(AND(OR(E34=3,E34=0),G34=2),D34,"")</f>
        <v>186.99966000000001</v>
      </c>
      <c r="R34" s="84" t="str">
        <f t="shared" ref="R34:R65" si="42">IF(AND(OR(E34=1,E34=0),G34=3),D34,"")</f>
        <v/>
      </c>
      <c r="S34" s="84" t="str">
        <f t="shared" ref="S34:S65" si="43">IF(AND(OR(E34=2,E34=0),G34=3),D34,"")</f>
        <v/>
      </c>
      <c r="T34" s="84" t="str">
        <f t="shared" ref="T34:T65" si="44">IF(AND(OR(E34=3,E34=0),G34=3),D34,"")</f>
        <v/>
      </c>
      <c r="U34" s="84" t="str">
        <f t="shared" ref="U34:U65" si="45">IF(AND(OR(E34=1,E34=0),G34=1,F34=1),D34,"")</f>
        <v/>
      </c>
      <c r="V34" s="84">
        <f t="shared" ref="V34:V65" si="46">IF(AND(OR(E34=1,E34=0),G34=2,F34=1),D34,"")</f>
        <v>186.99966000000001</v>
      </c>
      <c r="W34" s="84" t="str">
        <f t="shared" ref="W34:W65" si="47">IF(AND(OR(E34=1,E34=0),G34=3,F34=1),D34,"")</f>
        <v/>
      </c>
      <c r="X34" s="84" t="str">
        <f t="shared" ref="X34:X65" si="48">IF(AND(OR(E34=2,E34=0),G34=1,F34=1),D34,"")</f>
        <v/>
      </c>
      <c r="Y34" s="84">
        <f t="shared" ref="Y34:Y65" si="49">IF(AND(OR(E34=2,E34=0),G34=2,F34=1),D34,"")</f>
        <v>186.99966000000001</v>
      </c>
      <c r="Z34" s="84" t="str">
        <f t="shared" ref="Z34:Z65" si="50">IF(AND(OR(E34=2,E34=0),G34=3,F34=1),D34,"")</f>
        <v/>
      </c>
      <c r="AA34" s="84" t="str">
        <f t="shared" ref="AA34:AA65" si="51">IF(AND(OR(E34=3,E34=0),G34=1,F34=1),D34,"")</f>
        <v/>
      </c>
      <c r="AB34" s="84">
        <f t="shared" ref="AB34:AB65" si="52">IF(AND(OR(E34=3,E34=0),G34=2,F34=1),D34,"")</f>
        <v>186.99966000000001</v>
      </c>
      <c r="AC34" s="84" t="str">
        <f t="shared" ref="AC34:AC65" si="53">IF(AND(OR(E34=3,E34=0),G34=3,F34=1),D34,"")</f>
        <v/>
      </c>
      <c r="AD34" s="84" t="str">
        <f t="shared" ref="AD34:AD65" si="54">IF(AND(OR(E34=1,E34=0),G34=1,F34=0),J34,"")</f>
        <v/>
      </c>
      <c r="AE34" s="84" t="str">
        <f t="shared" ref="AE34:AE65" si="55">IF(AND(OR(E34=1,E34=0),G34=2,F34=0),J34,"")</f>
        <v/>
      </c>
      <c r="AF34" s="84" t="str">
        <f t="shared" ref="AF34:AF65" si="56">IF(AND(OR(E34=1,E34=0),G34=3,F34=0),J34,"")</f>
        <v/>
      </c>
      <c r="AG34" s="84" t="str">
        <f t="shared" ref="AG34:AG65" si="57">IF(AND(OR(E34=1,E34=0),G34=1,F34=1),J34,"")</f>
        <v/>
      </c>
      <c r="AH34" s="84">
        <f t="shared" ref="AH34:AH65" si="58">IF(AND(OR(E34=1,E34=0),G34=2,F34=1),J34,"")</f>
        <v>186.99966000000001</v>
      </c>
      <c r="AI34" s="84" t="str">
        <f t="shared" ref="AI34:AI65" si="59">IF(AND(OR(E34=1,E34=0),G34=3,F34=1),J34,"")</f>
        <v/>
      </c>
      <c r="AJ34" s="84" t="str">
        <f t="shared" ref="AJ34:AJ65" si="60">IF(AND(OR(E34=2,E34=0),G34=1,F34=0),J34,"")</f>
        <v/>
      </c>
      <c r="AK34" s="84" t="str">
        <f t="shared" ref="AK34:AK65" si="61">IF(AND(OR(E34=2,E34=0),G34=2,F34=0),J34,"")</f>
        <v/>
      </c>
      <c r="AL34" s="84" t="str">
        <f t="shared" ref="AL34:AL65" si="62">IF(AND(OR(E34=2,E34=0),G34=3,F34=0),J34,"")</f>
        <v/>
      </c>
      <c r="AM34" s="84" t="str">
        <f t="shared" ref="AM34:AM65" si="63">IF(AND(OR(E34=2,E34=0),G34=1,F34=1),J34,"")</f>
        <v/>
      </c>
      <c r="AN34" s="84">
        <f t="shared" ref="AN34:AN65" si="64">IF(AND(OR(E34=2,E34=0),G34=2,F34=1),J34,"")</f>
        <v>186.99966000000001</v>
      </c>
      <c r="AO34" s="84" t="str">
        <f t="shared" ref="AO34:AO65" si="65">IF(AND(OR(E34=2,E34=0),G34=3,F34=1),J34,"")</f>
        <v/>
      </c>
      <c r="AP34" s="84" t="str">
        <f t="shared" ref="AP34:AP65" si="66">IF(AND(OR(E34=3,E34=0),G34=1,F34=0),J34,"")</f>
        <v/>
      </c>
      <c r="AQ34" s="84" t="str">
        <f t="shared" ref="AQ34:AQ65" si="67">IF(AND(OR(E34=3,E34=0),G34=2,F34=0),J34,"")</f>
        <v/>
      </c>
      <c r="AR34" s="84" t="str">
        <f t="shared" ref="AR34:AR65" si="68">IF(AND(OR(E34=3,E34=0),G34=3,F34=0),J34,"")</f>
        <v/>
      </c>
      <c r="AS34" s="84" t="str">
        <f t="shared" ref="AS34:AS65" si="69">IF(AND(OR(E34=3,E34=0),G34=1,F34=1),J34,"")</f>
        <v/>
      </c>
      <c r="AT34" s="84">
        <f t="shared" ref="AT34:AT65" si="70">IF(AND(OR(E34=3,E34=0),G34=2,F34=1),J34,"")</f>
        <v>186.99966000000001</v>
      </c>
      <c r="AU34" s="84" t="str">
        <f t="shared" ref="AU34:AU65" si="71">IF(AND(OR(E34=3,E34=0),G34=3,F34=1),J34,"")</f>
        <v/>
      </c>
    </row>
    <row r="35" spans="1:47" ht="19" customHeight="1" x14ac:dyDescent="0.3">
      <c r="A35" s="57" t="s">
        <v>33</v>
      </c>
      <c r="B35" s="57"/>
      <c r="C35" s="57"/>
      <c r="D35" s="89">
        <f>IF(路线!B4="计算",持有情况!AM17,持有情况!AK16)-ROW()*0.00001</f>
        <v>161.99965</v>
      </c>
      <c r="E35" s="90">
        <v>0</v>
      </c>
      <c r="F35" s="90">
        <v>0</v>
      </c>
      <c r="G35" s="89">
        <v>1</v>
      </c>
      <c r="H35" s="90">
        <v>0</v>
      </c>
      <c r="I35" s="1"/>
      <c r="J35" s="89">
        <f>IF(路线!B4="计算",INT(45+5*路线!B30+13*路线!B19+30+持有情况!AM15),INT(45+5*路线!B30+13*路线!B19+30))-ROW()*0.00001</f>
        <v>161.99965</v>
      </c>
      <c r="K35" s="1"/>
      <c r="L35" s="84">
        <f t="shared" si="36"/>
        <v>161.99965</v>
      </c>
      <c r="M35" s="84">
        <f t="shared" si="37"/>
        <v>161.99965</v>
      </c>
      <c r="N35" s="84">
        <f t="shared" si="38"/>
        <v>161.99965</v>
      </c>
      <c r="O35" s="84" t="str">
        <f t="shared" si="39"/>
        <v/>
      </c>
      <c r="P35" s="84" t="str">
        <f t="shared" si="40"/>
        <v/>
      </c>
      <c r="Q35" s="84" t="str">
        <f t="shared" si="41"/>
        <v/>
      </c>
      <c r="R35" s="84" t="str">
        <f t="shared" si="42"/>
        <v/>
      </c>
      <c r="S35" s="84" t="str">
        <f t="shared" si="43"/>
        <v/>
      </c>
      <c r="T35" s="84" t="str">
        <f t="shared" si="44"/>
        <v/>
      </c>
      <c r="U35" s="84" t="str">
        <f t="shared" si="45"/>
        <v/>
      </c>
      <c r="V35" s="84" t="str">
        <f t="shared" si="46"/>
        <v/>
      </c>
      <c r="W35" s="84" t="str">
        <f t="shared" si="47"/>
        <v/>
      </c>
      <c r="X35" s="84" t="str">
        <f t="shared" si="48"/>
        <v/>
      </c>
      <c r="Y35" s="84" t="str">
        <f t="shared" si="49"/>
        <v/>
      </c>
      <c r="Z35" s="84" t="str">
        <f t="shared" si="50"/>
        <v/>
      </c>
      <c r="AA35" s="84" t="str">
        <f t="shared" si="51"/>
        <v/>
      </c>
      <c r="AB35" s="84" t="str">
        <f t="shared" si="52"/>
        <v/>
      </c>
      <c r="AC35" s="84" t="str">
        <f t="shared" si="53"/>
        <v/>
      </c>
      <c r="AD35" s="84">
        <f t="shared" si="54"/>
        <v>161.99965</v>
      </c>
      <c r="AE35" s="84" t="str">
        <f t="shared" si="55"/>
        <v/>
      </c>
      <c r="AF35" s="84" t="str">
        <f t="shared" si="56"/>
        <v/>
      </c>
      <c r="AG35" s="84" t="str">
        <f t="shared" si="57"/>
        <v/>
      </c>
      <c r="AH35" s="84" t="str">
        <f t="shared" si="58"/>
        <v/>
      </c>
      <c r="AI35" s="84" t="str">
        <f t="shared" si="59"/>
        <v/>
      </c>
      <c r="AJ35" s="84">
        <f t="shared" si="60"/>
        <v>161.99965</v>
      </c>
      <c r="AK35" s="84" t="str">
        <f t="shared" si="61"/>
        <v/>
      </c>
      <c r="AL35" s="84" t="str">
        <f t="shared" si="62"/>
        <v/>
      </c>
      <c r="AM35" s="84" t="str">
        <f t="shared" si="63"/>
        <v/>
      </c>
      <c r="AN35" s="84" t="str">
        <f t="shared" si="64"/>
        <v/>
      </c>
      <c r="AO35" s="84" t="str">
        <f t="shared" si="65"/>
        <v/>
      </c>
      <c r="AP35" s="84">
        <f t="shared" si="66"/>
        <v>161.99965</v>
      </c>
      <c r="AQ35" s="84" t="str">
        <f t="shared" si="67"/>
        <v/>
      </c>
      <c r="AR35" s="84" t="str">
        <f t="shared" si="68"/>
        <v/>
      </c>
      <c r="AS35" s="84" t="str">
        <f t="shared" si="69"/>
        <v/>
      </c>
      <c r="AT35" s="84" t="str">
        <f t="shared" si="70"/>
        <v/>
      </c>
      <c r="AU35" s="84" t="str">
        <f t="shared" si="71"/>
        <v/>
      </c>
    </row>
    <row r="36" spans="1:47" ht="19" customHeight="1" x14ac:dyDescent="0.3">
      <c r="A36" s="75" t="s">
        <v>27</v>
      </c>
      <c r="B36" s="75"/>
      <c r="C36" s="75"/>
      <c r="D36" s="89">
        <f>IF(路线!B4="计算",持有情况!AW11,持有情况!AU10)-ROW()*0.00001</f>
        <v>161.99964</v>
      </c>
      <c r="E36" s="90">
        <v>0</v>
      </c>
      <c r="F36" s="90">
        <v>0</v>
      </c>
      <c r="G36" s="89">
        <v>2</v>
      </c>
      <c r="H36" s="90">
        <v>0</v>
      </c>
      <c r="I36" s="1"/>
      <c r="J36" s="89">
        <f>IF(路线!B4="计算",INT(45+5*路线!B30+13*路线!B19+30+持有情况!AM15),INT(45+5*路线!B30+13*路线!B19+30))-ROW()*0.00001</f>
        <v>161.99964</v>
      </c>
      <c r="K36" s="1"/>
      <c r="L36" s="84" t="str">
        <f t="shared" si="36"/>
        <v/>
      </c>
      <c r="M36" s="84" t="str">
        <f t="shared" si="37"/>
        <v/>
      </c>
      <c r="N36" s="84" t="str">
        <f t="shared" si="38"/>
        <v/>
      </c>
      <c r="O36" s="84">
        <f t="shared" si="39"/>
        <v>161.99964</v>
      </c>
      <c r="P36" s="84">
        <f t="shared" si="40"/>
        <v>161.99964</v>
      </c>
      <c r="Q36" s="84">
        <f t="shared" si="41"/>
        <v>161.99964</v>
      </c>
      <c r="R36" s="84" t="str">
        <f t="shared" si="42"/>
        <v/>
      </c>
      <c r="S36" s="84" t="str">
        <f t="shared" si="43"/>
        <v/>
      </c>
      <c r="T36" s="84" t="str">
        <f t="shared" si="44"/>
        <v/>
      </c>
      <c r="U36" s="84" t="str">
        <f t="shared" si="45"/>
        <v/>
      </c>
      <c r="V36" s="84" t="str">
        <f t="shared" si="46"/>
        <v/>
      </c>
      <c r="W36" s="84" t="str">
        <f t="shared" si="47"/>
        <v/>
      </c>
      <c r="X36" s="84" t="str">
        <f t="shared" si="48"/>
        <v/>
      </c>
      <c r="Y36" s="84" t="str">
        <f t="shared" si="49"/>
        <v/>
      </c>
      <c r="Z36" s="84" t="str">
        <f t="shared" si="50"/>
        <v/>
      </c>
      <c r="AA36" s="84" t="str">
        <f t="shared" si="51"/>
        <v/>
      </c>
      <c r="AB36" s="84" t="str">
        <f t="shared" si="52"/>
        <v/>
      </c>
      <c r="AC36" s="84" t="str">
        <f t="shared" si="53"/>
        <v/>
      </c>
      <c r="AD36" s="84" t="str">
        <f t="shared" si="54"/>
        <v/>
      </c>
      <c r="AE36" s="84">
        <f t="shared" si="55"/>
        <v>161.99964</v>
      </c>
      <c r="AF36" s="84" t="str">
        <f t="shared" si="56"/>
        <v/>
      </c>
      <c r="AG36" s="84" t="str">
        <f t="shared" si="57"/>
        <v/>
      </c>
      <c r="AH36" s="84" t="str">
        <f t="shared" si="58"/>
        <v/>
      </c>
      <c r="AI36" s="84" t="str">
        <f t="shared" si="59"/>
        <v/>
      </c>
      <c r="AJ36" s="84" t="str">
        <f t="shared" si="60"/>
        <v/>
      </c>
      <c r="AK36" s="84">
        <f t="shared" si="61"/>
        <v>161.99964</v>
      </c>
      <c r="AL36" s="84" t="str">
        <f t="shared" si="62"/>
        <v/>
      </c>
      <c r="AM36" s="84" t="str">
        <f t="shared" si="63"/>
        <v/>
      </c>
      <c r="AN36" s="84" t="str">
        <f t="shared" si="64"/>
        <v/>
      </c>
      <c r="AO36" s="84" t="str">
        <f t="shared" si="65"/>
        <v/>
      </c>
      <c r="AP36" s="84" t="str">
        <f t="shared" si="66"/>
        <v/>
      </c>
      <c r="AQ36" s="84">
        <f t="shared" si="67"/>
        <v>161.99964</v>
      </c>
      <c r="AR36" s="84" t="str">
        <f t="shared" si="68"/>
        <v/>
      </c>
      <c r="AS36" s="84" t="str">
        <f t="shared" si="69"/>
        <v/>
      </c>
      <c r="AT36" s="84" t="str">
        <f t="shared" si="70"/>
        <v/>
      </c>
      <c r="AU36" s="84" t="str">
        <f t="shared" si="71"/>
        <v/>
      </c>
    </row>
    <row r="37" spans="1:47" ht="19" customHeight="1" x14ac:dyDescent="0.3">
      <c r="A37" s="57" t="s">
        <v>112</v>
      </c>
      <c r="B37" s="57"/>
      <c r="C37" s="57"/>
      <c r="D37" s="89">
        <f>持有情况!G82-ROW()*0.00001</f>
        <v>96.999629999999996</v>
      </c>
      <c r="E37" s="89">
        <v>3</v>
      </c>
      <c r="F37" s="89">
        <v>1</v>
      </c>
      <c r="G37" s="89">
        <v>1</v>
      </c>
      <c r="H37" s="90">
        <v>0</v>
      </c>
      <c r="I37" s="1"/>
      <c r="J37" s="89">
        <f>INT((8.5/100)*路线!B12+15*路线!B31+40)-ROW()*0.00001</f>
        <v>96.999629999999996</v>
      </c>
      <c r="K37" s="1"/>
      <c r="L37" s="84" t="str">
        <f t="shared" si="36"/>
        <v/>
      </c>
      <c r="M37" s="84" t="str">
        <f t="shared" si="37"/>
        <v/>
      </c>
      <c r="N37" s="84">
        <f t="shared" si="38"/>
        <v>96.999629999999996</v>
      </c>
      <c r="O37" s="84" t="str">
        <f t="shared" si="39"/>
        <v/>
      </c>
      <c r="P37" s="84" t="str">
        <f t="shared" si="40"/>
        <v/>
      </c>
      <c r="Q37" s="84" t="str">
        <f t="shared" si="41"/>
        <v/>
      </c>
      <c r="R37" s="84" t="str">
        <f t="shared" si="42"/>
        <v/>
      </c>
      <c r="S37" s="84" t="str">
        <f t="shared" si="43"/>
        <v/>
      </c>
      <c r="T37" s="84" t="str">
        <f t="shared" si="44"/>
        <v/>
      </c>
      <c r="U37" s="84" t="str">
        <f t="shared" si="45"/>
        <v/>
      </c>
      <c r="V37" s="84" t="str">
        <f t="shared" si="46"/>
        <v/>
      </c>
      <c r="W37" s="84" t="str">
        <f t="shared" si="47"/>
        <v/>
      </c>
      <c r="X37" s="84" t="str">
        <f t="shared" si="48"/>
        <v/>
      </c>
      <c r="Y37" s="84" t="str">
        <f t="shared" si="49"/>
        <v/>
      </c>
      <c r="Z37" s="84" t="str">
        <f t="shared" si="50"/>
        <v/>
      </c>
      <c r="AA37" s="84">
        <f t="shared" si="51"/>
        <v>96.999629999999996</v>
      </c>
      <c r="AB37" s="84" t="str">
        <f t="shared" si="52"/>
        <v/>
      </c>
      <c r="AC37" s="84" t="str">
        <f t="shared" si="53"/>
        <v/>
      </c>
      <c r="AD37" s="84" t="str">
        <f t="shared" si="54"/>
        <v/>
      </c>
      <c r="AE37" s="84" t="str">
        <f t="shared" si="55"/>
        <v/>
      </c>
      <c r="AF37" s="84" t="str">
        <f t="shared" si="56"/>
        <v/>
      </c>
      <c r="AG37" s="84" t="str">
        <f t="shared" si="57"/>
        <v/>
      </c>
      <c r="AH37" s="84" t="str">
        <f t="shared" si="58"/>
        <v/>
      </c>
      <c r="AI37" s="84" t="str">
        <f t="shared" si="59"/>
        <v/>
      </c>
      <c r="AJ37" s="84" t="str">
        <f t="shared" si="60"/>
        <v/>
      </c>
      <c r="AK37" s="84" t="str">
        <f t="shared" si="61"/>
        <v/>
      </c>
      <c r="AL37" s="84" t="str">
        <f t="shared" si="62"/>
        <v/>
      </c>
      <c r="AM37" s="84" t="str">
        <f t="shared" si="63"/>
        <v/>
      </c>
      <c r="AN37" s="84" t="str">
        <f t="shared" si="64"/>
        <v/>
      </c>
      <c r="AO37" s="84" t="str">
        <f t="shared" si="65"/>
        <v/>
      </c>
      <c r="AP37" s="84" t="str">
        <f t="shared" si="66"/>
        <v/>
      </c>
      <c r="AQ37" s="84" t="str">
        <f t="shared" si="67"/>
        <v/>
      </c>
      <c r="AR37" s="84" t="str">
        <f t="shared" si="68"/>
        <v/>
      </c>
      <c r="AS37" s="84">
        <f t="shared" si="69"/>
        <v>96.999629999999996</v>
      </c>
      <c r="AT37" s="84" t="str">
        <f t="shared" si="70"/>
        <v/>
      </c>
      <c r="AU37" s="84" t="str">
        <f t="shared" si="71"/>
        <v/>
      </c>
    </row>
    <row r="38" spans="1:47" ht="19" customHeight="1" x14ac:dyDescent="0.3">
      <c r="A38" s="75" t="s">
        <v>56</v>
      </c>
      <c r="B38" s="75"/>
      <c r="C38" s="75"/>
      <c r="D38" s="89">
        <f>持有情况!Q34-ROW()*0.00001</f>
        <v>140.99961999999999</v>
      </c>
      <c r="E38" s="90">
        <v>0</v>
      </c>
      <c r="F38" s="90">
        <v>0</v>
      </c>
      <c r="G38" s="89">
        <v>2</v>
      </c>
      <c r="H38" s="89">
        <v>1</v>
      </c>
      <c r="I38" s="84" t="s">
        <v>302</v>
      </c>
      <c r="J38" s="89">
        <f>INT((8.5/100)*路线!B12+22*路线!B32+15*路线!B31+40)-ROW()*0.00001</f>
        <v>140.99961999999999</v>
      </c>
      <c r="K38" s="1"/>
      <c r="L38" s="84" t="str">
        <f t="shared" si="36"/>
        <v/>
      </c>
      <c r="M38" s="84" t="str">
        <f t="shared" si="37"/>
        <v/>
      </c>
      <c r="N38" s="84" t="str">
        <f t="shared" si="38"/>
        <v/>
      </c>
      <c r="O38" s="84">
        <f t="shared" si="39"/>
        <v>140.99961999999999</v>
      </c>
      <c r="P38" s="84">
        <f t="shared" si="40"/>
        <v>140.99961999999999</v>
      </c>
      <c r="Q38" s="84">
        <f t="shared" si="41"/>
        <v>140.99961999999999</v>
      </c>
      <c r="R38" s="84" t="str">
        <f t="shared" si="42"/>
        <v/>
      </c>
      <c r="S38" s="84" t="str">
        <f t="shared" si="43"/>
        <v/>
      </c>
      <c r="T38" s="84" t="str">
        <f t="shared" si="44"/>
        <v/>
      </c>
      <c r="U38" s="84" t="str">
        <f t="shared" si="45"/>
        <v/>
      </c>
      <c r="V38" s="84" t="str">
        <f t="shared" si="46"/>
        <v/>
      </c>
      <c r="W38" s="84" t="str">
        <f t="shared" si="47"/>
        <v/>
      </c>
      <c r="X38" s="84" t="str">
        <f t="shared" si="48"/>
        <v/>
      </c>
      <c r="Y38" s="84" t="str">
        <f t="shared" si="49"/>
        <v/>
      </c>
      <c r="Z38" s="84" t="str">
        <f t="shared" si="50"/>
        <v/>
      </c>
      <c r="AA38" s="84" t="str">
        <f t="shared" si="51"/>
        <v/>
      </c>
      <c r="AB38" s="84" t="str">
        <f t="shared" si="52"/>
        <v/>
      </c>
      <c r="AC38" s="84" t="str">
        <f t="shared" si="53"/>
        <v/>
      </c>
      <c r="AD38" s="84" t="str">
        <f t="shared" si="54"/>
        <v/>
      </c>
      <c r="AE38" s="84">
        <f t="shared" si="55"/>
        <v>140.99961999999999</v>
      </c>
      <c r="AF38" s="84" t="str">
        <f t="shared" si="56"/>
        <v/>
      </c>
      <c r="AG38" s="84" t="str">
        <f t="shared" si="57"/>
        <v/>
      </c>
      <c r="AH38" s="84" t="str">
        <f t="shared" si="58"/>
        <v/>
      </c>
      <c r="AI38" s="84" t="str">
        <f t="shared" si="59"/>
        <v/>
      </c>
      <c r="AJ38" s="84" t="str">
        <f t="shared" si="60"/>
        <v/>
      </c>
      <c r="AK38" s="84">
        <f t="shared" si="61"/>
        <v>140.99961999999999</v>
      </c>
      <c r="AL38" s="84" t="str">
        <f t="shared" si="62"/>
        <v/>
      </c>
      <c r="AM38" s="84" t="str">
        <f t="shared" si="63"/>
        <v/>
      </c>
      <c r="AN38" s="84" t="str">
        <f t="shared" si="64"/>
        <v/>
      </c>
      <c r="AO38" s="84" t="str">
        <f t="shared" si="65"/>
        <v/>
      </c>
      <c r="AP38" s="84" t="str">
        <f t="shared" si="66"/>
        <v/>
      </c>
      <c r="AQ38" s="84">
        <f t="shared" si="67"/>
        <v>140.99961999999999</v>
      </c>
      <c r="AR38" s="84" t="str">
        <f t="shared" si="68"/>
        <v/>
      </c>
      <c r="AS38" s="84" t="str">
        <f t="shared" si="69"/>
        <v/>
      </c>
      <c r="AT38" s="84" t="str">
        <f t="shared" si="70"/>
        <v/>
      </c>
      <c r="AU38" s="84" t="str">
        <f t="shared" si="71"/>
        <v/>
      </c>
    </row>
    <row r="39" spans="1:47" ht="19" customHeight="1" x14ac:dyDescent="0.3">
      <c r="A39" s="75" t="s">
        <v>110</v>
      </c>
      <c r="B39" s="75"/>
      <c r="C39" s="75"/>
      <c r="D39" s="89">
        <f>IF(路线!B4="计算",持有情况!AW77,持有情况!AU76)-ROW()*0.00001</f>
        <v>190.99960999999999</v>
      </c>
      <c r="E39" s="89">
        <v>2</v>
      </c>
      <c r="F39" s="89">
        <v>1</v>
      </c>
      <c r="G39" s="89">
        <v>2</v>
      </c>
      <c r="H39" s="90">
        <v>0</v>
      </c>
      <c r="I39" s="1"/>
      <c r="J39" s="89">
        <f>IF(路线!B4="计算",INT(45+17+13*路线!B18+30+持有情况!AW75),INT(45+17+13*路线!B18+30))-ROW()*0.00001</f>
        <v>190.99960999999999</v>
      </c>
      <c r="K39" s="1"/>
      <c r="L39" s="84" t="str">
        <f t="shared" si="36"/>
        <v/>
      </c>
      <c r="M39" s="84" t="str">
        <f t="shared" si="37"/>
        <v/>
      </c>
      <c r="N39" s="84" t="str">
        <f t="shared" si="38"/>
        <v/>
      </c>
      <c r="O39" s="84" t="str">
        <f t="shared" si="39"/>
        <v/>
      </c>
      <c r="P39" s="84">
        <f t="shared" si="40"/>
        <v>190.99960999999999</v>
      </c>
      <c r="Q39" s="84" t="str">
        <f t="shared" si="41"/>
        <v/>
      </c>
      <c r="R39" s="84" t="str">
        <f t="shared" si="42"/>
        <v/>
      </c>
      <c r="S39" s="84" t="str">
        <f t="shared" si="43"/>
        <v/>
      </c>
      <c r="T39" s="84" t="str">
        <f t="shared" si="44"/>
        <v/>
      </c>
      <c r="U39" s="84" t="str">
        <f t="shared" si="45"/>
        <v/>
      </c>
      <c r="V39" s="84" t="str">
        <f t="shared" si="46"/>
        <v/>
      </c>
      <c r="W39" s="84" t="str">
        <f t="shared" si="47"/>
        <v/>
      </c>
      <c r="X39" s="84" t="str">
        <f t="shared" si="48"/>
        <v/>
      </c>
      <c r="Y39" s="84">
        <f t="shared" si="49"/>
        <v>190.99960999999999</v>
      </c>
      <c r="Z39" s="84" t="str">
        <f t="shared" si="50"/>
        <v/>
      </c>
      <c r="AA39" s="84" t="str">
        <f t="shared" si="51"/>
        <v/>
      </c>
      <c r="AB39" s="84" t="str">
        <f t="shared" si="52"/>
        <v/>
      </c>
      <c r="AC39" s="84" t="str">
        <f t="shared" si="53"/>
        <v/>
      </c>
      <c r="AD39" s="84" t="str">
        <f t="shared" si="54"/>
        <v/>
      </c>
      <c r="AE39" s="84" t="str">
        <f t="shared" si="55"/>
        <v/>
      </c>
      <c r="AF39" s="84" t="str">
        <f t="shared" si="56"/>
        <v/>
      </c>
      <c r="AG39" s="84" t="str">
        <f t="shared" si="57"/>
        <v/>
      </c>
      <c r="AH39" s="84" t="str">
        <f t="shared" si="58"/>
        <v/>
      </c>
      <c r="AI39" s="84" t="str">
        <f t="shared" si="59"/>
        <v/>
      </c>
      <c r="AJ39" s="84" t="str">
        <f t="shared" si="60"/>
        <v/>
      </c>
      <c r="AK39" s="84" t="str">
        <f t="shared" si="61"/>
        <v/>
      </c>
      <c r="AL39" s="84" t="str">
        <f t="shared" si="62"/>
        <v/>
      </c>
      <c r="AM39" s="84" t="str">
        <f t="shared" si="63"/>
        <v/>
      </c>
      <c r="AN39" s="84">
        <f t="shared" si="64"/>
        <v>190.99960999999999</v>
      </c>
      <c r="AO39" s="84" t="str">
        <f t="shared" si="65"/>
        <v/>
      </c>
      <c r="AP39" s="84" t="str">
        <f t="shared" si="66"/>
        <v/>
      </c>
      <c r="AQ39" s="84" t="str">
        <f t="shared" si="67"/>
        <v/>
      </c>
      <c r="AR39" s="84" t="str">
        <f t="shared" si="68"/>
        <v/>
      </c>
      <c r="AS39" s="84" t="str">
        <f t="shared" si="69"/>
        <v/>
      </c>
      <c r="AT39" s="84" t="str">
        <f t="shared" si="70"/>
        <v/>
      </c>
      <c r="AU39" s="84" t="str">
        <f t="shared" si="71"/>
        <v/>
      </c>
    </row>
    <row r="40" spans="1:47" ht="19" customHeight="1" x14ac:dyDescent="0.3">
      <c r="A40" s="67" t="s">
        <v>61</v>
      </c>
      <c r="B40" s="67"/>
      <c r="C40" s="67"/>
      <c r="D40" s="89">
        <f>IF(路线!B4="计算",持有情况!BG35,持有情况!BE34)-ROW()*0.00001</f>
        <v>203.99959999999999</v>
      </c>
      <c r="E40" s="89">
        <v>2</v>
      </c>
      <c r="F40" s="90">
        <v>0</v>
      </c>
      <c r="G40" s="89">
        <v>3</v>
      </c>
      <c r="H40" s="90">
        <v>0</v>
      </c>
      <c r="I40" s="1"/>
      <c r="J40" s="89">
        <f>IF(路线!B4="计算",INT((6.4/100)*路线!B12+8*路线!B33+13*路线!B18+30+持有情况!BG33),INT((6.4/100)*路线!B12+8*路线!B33+13*路线!B18+30))-ROW()*0.00001</f>
        <v>203.99959999999999</v>
      </c>
      <c r="K40" s="1"/>
      <c r="L40" s="84" t="str">
        <f t="shared" si="36"/>
        <v/>
      </c>
      <c r="M40" s="84" t="str">
        <f t="shared" si="37"/>
        <v/>
      </c>
      <c r="N40" s="84" t="str">
        <f t="shared" si="38"/>
        <v/>
      </c>
      <c r="O40" s="84" t="str">
        <f t="shared" si="39"/>
        <v/>
      </c>
      <c r="P40" s="84" t="str">
        <f t="shared" si="40"/>
        <v/>
      </c>
      <c r="Q40" s="84" t="str">
        <f t="shared" si="41"/>
        <v/>
      </c>
      <c r="R40" s="84" t="str">
        <f t="shared" si="42"/>
        <v/>
      </c>
      <c r="S40" s="84">
        <f t="shared" si="43"/>
        <v>203.99959999999999</v>
      </c>
      <c r="T40" s="84" t="str">
        <f t="shared" si="44"/>
        <v/>
      </c>
      <c r="U40" s="84" t="str">
        <f t="shared" si="45"/>
        <v/>
      </c>
      <c r="V40" s="84" t="str">
        <f t="shared" si="46"/>
        <v/>
      </c>
      <c r="W40" s="84" t="str">
        <f t="shared" si="47"/>
        <v/>
      </c>
      <c r="X40" s="84" t="str">
        <f t="shared" si="48"/>
        <v/>
      </c>
      <c r="Y40" s="84" t="str">
        <f t="shared" si="49"/>
        <v/>
      </c>
      <c r="Z40" s="84" t="str">
        <f t="shared" si="50"/>
        <v/>
      </c>
      <c r="AA40" s="84" t="str">
        <f t="shared" si="51"/>
        <v/>
      </c>
      <c r="AB40" s="84" t="str">
        <f t="shared" si="52"/>
        <v/>
      </c>
      <c r="AC40" s="84" t="str">
        <f t="shared" si="53"/>
        <v/>
      </c>
      <c r="AD40" s="84" t="str">
        <f t="shared" si="54"/>
        <v/>
      </c>
      <c r="AE40" s="84" t="str">
        <f t="shared" si="55"/>
        <v/>
      </c>
      <c r="AF40" s="84" t="str">
        <f t="shared" si="56"/>
        <v/>
      </c>
      <c r="AG40" s="84" t="str">
        <f t="shared" si="57"/>
        <v/>
      </c>
      <c r="AH40" s="84" t="str">
        <f t="shared" si="58"/>
        <v/>
      </c>
      <c r="AI40" s="84" t="str">
        <f t="shared" si="59"/>
        <v/>
      </c>
      <c r="AJ40" s="84" t="str">
        <f t="shared" si="60"/>
        <v/>
      </c>
      <c r="AK40" s="84" t="str">
        <f t="shared" si="61"/>
        <v/>
      </c>
      <c r="AL40" s="84">
        <f t="shared" si="62"/>
        <v>203.99959999999999</v>
      </c>
      <c r="AM40" s="84" t="str">
        <f t="shared" si="63"/>
        <v/>
      </c>
      <c r="AN40" s="84" t="str">
        <f t="shared" si="64"/>
        <v/>
      </c>
      <c r="AO40" s="84" t="str">
        <f t="shared" si="65"/>
        <v/>
      </c>
      <c r="AP40" s="84" t="str">
        <f t="shared" si="66"/>
        <v/>
      </c>
      <c r="AQ40" s="84" t="str">
        <f t="shared" si="67"/>
        <v/>
      </c>
      <c r="AR40" s="84" t="str">
        <f t="shared" si="68"/>
        <v/>
      </c>
      <c r="AS40" s="84" t="str">
        <f t="shared" si="69"/>
        <v/>
      </c>
      <c r="AT40" s="84" t="str">
        <f t="shared" si="70"/>
        <v/>
      </c>
      <c r="AU40" s="84" t="str">
        <f t="shared" si="71"/>
        <v/>
      </c>
    </row>
    <row r="41" spans="1:47" ht="19" customHeight="1" x14ac:dyDescent="0.3">
      <c r="A41" s="67" t="s">
        <v>103</v>
      </c>
      <c r="B41" s="67"/>
      <c r="C41" s="67"/>
      <c r="D41" s="89">
        <f>持有情况!BE70-ROW()*0.00001</f>
        <v>131.99959000000001</v>
      </c>
      <c r="E41" s="89">
        <v>3</v>
      </c>
      <c r="F41" s="89">
        <v>1</v>
      </c>
      <c r="G41" s="89">
        <v>3</v>
      </c>
      <c r="H41" s="89">
        <v>1</v>
      </c>
      <c r="I41" s="84" t="s">
        <v>303</v>
      </c>
      <c r="J41" s="89">
        <f>IF(路线!C6="计算",INT((6.4/100)*路线!B12+10*路线!B31+13*路线!B18+30+20)-ROW()*0.00001,INT((6.4/100)*路线!B12+10*路线!B31+13*路线!B18+30)-ROW()*0.00001)</f>
        <v>131.99959000000001</v>
      </c>
      <c r="K41" s="1"/>
      <c r="L41" s="84" t="str">
        <f t="shared" si="36"/>
        <v/>
      </c>
      <c r="M41" s="84" t="str">
        <f t="shared" si="37"/>
        <v/>
      </c>
      <c r="N41" s="84" t="str">
        <f t="shared" si="38"/>
        <v/>
      </c>
      <c r="O41" s="84" t="str">
        <f t="shared" si="39"/>
        <v/>
      </c>
      <c r="P41" s="84" t="str">
        <f t="shared" si="40"/>
        <v/>
      </c>
      <c r="Q41" s="84" t="str">
        <f t="shared" si="41"/>
        <v/>
      </c>
      <c r="R41" s="84" t="str">
        <f t="shared" si="42"/>
        <v/>
      </c>
      <c r="S41" s="84" t="str">
        <f t="shared" si="43"/>
        <v/>
      </c>
      <c r="T41" s="84">
        <f t="shared" si="44"/>
        <v>131.99959000000001</v>
      </c>
      <c r="U41" s="84" t="str">
        <f t="shared" si="45"/>
        <v/>
      </c>
      <c r="V41" s="84" t="str">
        <f t="shared" si="46"/>
        <v/>
      </c>
      <c r="W41" s="84" t="str">
        <f t="shared" si="47"/>
        <v/>
      </c>
      <c r="X41" s="84" t="str">
        <f t="shared" si="48"/>
        <v/>
      </c>
      <c r="Y41" s="84" t="str">
        <f t="shared" si="49"/>
        <v/>
      </c>
      <c r="Z41" s="84" t="str">
        <f t="shared" si="50"/>
        <v/>
      </c>
      <c r="AA41" s="84" t="str">
        <f t="shared" si="51"/>
        <v/>
      </c>
      <c r="AB41" s="84" t="str">
        <f t="shared" si="52"/>
        <v/>
      </c>
      <c r="AC41" s="84">
        <f t="shared" si="53"/>
        <v>131.99959000000001</v>
      </c>
      <c r="AD41" s="84" t="str">
        <f t="shared" si="54"/>
        <v/>
      </c>
      <c r="AE41" s="84" t="str">
        <f t="shared" si="55"/>
        <v/>
      </c>
      <c r="AF41" s="84" t="str">
        <f t="shared" si="56"/>
        <v/>
      </c>
      <c r="AG41" s="84" t="str">
        <f t="shared" si="57"/>
        <v/>
      </c>
      <c r="AH41" s="84" t="str">
        <f t="shared" si="58"/>
        <v/>
      </c>
      <c r="AI41" s="84" t="str">
        <f t="shared" si="59"/>
        <v/>
      </c>
      <c r="AJ41" s="84" t="str">
        <f t="shared" si="60"/>
        <v/>
      </c>
      <c r="AK41" s="84" t="str">
        <f t="shared" si="61"/>
        <v/>
      </c>
      <c r="AL41" s="84" t="str">
        <f t="shared" si="62"/>
        <v/>
      </c>
      <c r="AM41" s="84" t="str">
        <f t="shared" si="63"/>
        <v/>
      </c>
      <c r="AN41" s="84" t="str">
        <f t="shared" si="64"/>
        <v/>
      </c>
      <c r="AO41" s="84" t="str">
        <f t="shared" si="65"/>
        <v/>
      </c>
      <c r="AP41" s="84" t="str">
        <f t="shared" si="66"/>
        <v/>
      </c>
      <c r="AQ41" s="84" t="str">
        <f t="shared" si="67"/>
        <v/>
      </c>
      <c r="AR41" s="84" t="str">
        <f t="shared" si="68"/>
        <v/>
      </c>
      <c r="AS41" s="84" t="str">
        <f t="shared" si="69"/>
        <v/>
      </c>
      <c r="AT41" s="84" t="str">
        <f t="shared" si="70"/>
        <v/>
      </c>
      <c r="AU41" s="84">
        <f t="shared" si="71"/>
        <v>131.99959000000001</v>
      </c>
    </row>
    <row r="42" spans="1:47" ht="19" customHeight="1" x14ac:dyDescent="0.3">
      <c r="A42" s="67" t="s">
        <v>25</v>
      </c>
      <c r="B42" s="67"/>
      <c r="C42" s="67"/>
      <c r="D42" s="89">
        <f>持有情况!AA10-ROW()*0.00001</f>
        <v>161.99958000000001</v>
      </c>
      <c r="E42" s="90">
        <v>0</v>
      </c>
      <c r="F42" s="90">
        <v>0</v>
      </c>
      <c r="G42" s="89">
        <v>3</v>
      </c>
      <c r="H42" s="89">
        <v>1</v>
      </c>
      <c r="I42" s="84" t="s">
        <v>304</v>
      </c>
      <c r="J42" s="89">
        <f>INT(路线!B12*(8.5/100)+7*路线!B30+4*(路线!B28+路线!B29)+40)-ROW()*0.00001</f>
        <v>161.99958000000001</v>
      </c>
      <c r="K42" s="1"/>
      <c r="L42" s="84" t="str">
        <f t="shared" si="36"/>
        <v/>
      </c>
      <c r="M42" s="84" t="str">
        <f t="shared" si="37"/>
        <v/>
      </c>
      <c r="N42" s="84" t="str">
        <f t="shared" si="38"/>
        <v/>
      </c>
      <c r="O42" s="84" t="str">
        <f t="shared" si="39"/>
        <v/>
      </c>
      <c r="P42" s="84" t="str">
        <f t="shared" si="40"/>
        <v/>
      </c>
      <c r="Q42" s="84" t="str">
        <f t="shared" si="41"/>
        <v/>
      </c>
      <c r="R42" s="84">
        <f t="shared" si="42"/>
        <v>161.99958000000001</v>
      </c>
      <c r="S42" s="84">
        <f t="shared" si="43"/>
        <v>161.99958000000001</v>
      </c>
      <c r="T42" s="84">
        <f t="shared" si="44"/>
        <v>161.99958000000001</v>
      </c>
      <c r="U42" s="84" t="str">
        <f t="shared" si="45"/>
        <v/>
      </c>
      <c r="V42" s="84" t="str">
        <f t="shared" si="46"/>
        <v/>
      </c>
      <c r="W42" s="84" t="str">
        <f t="shared" si="47"/>
        <v/>
      </c>
      <c r="X42" s="84" t="str">
        <f t="shared" si="48"/>
        <v/>
      </c>
      <c r="Y42" s="84" t="str">
        <f t="shared" si="49"/>
        <v/>
      </c>
      <c r="Z42" s="84" t="str">
        <f t="shared" si="50"/>
        <v/>
      </c>
      <c r="AA42" s="84" t="str">
        <f t="shared" si="51"/>
        <v/>
      </c>
      <c r="AB42" s="84" t="str">
        <f t="shared" si="52"/>
        <v/>
      </c>
      <c r="AC42" s="84" t="str">
        <f t="shared" si="53"/>
        <v/>
      </c>
      <c r="AD42" s="84" t="str">
        <f t="shared" si="54"/>
        <v/>
      </c>
      <c r="AE42" s="84" t="str">
        <f t="shared" si="55"/>
        <v/>
      </c>
      <c r="AF42" s="84">
        <f t="shared" si="56"/>
        <v>161.99958000000001</v>
      </c>
      <c r="AG42" s="84" t="str">
        <f t="shared" si="57"/>
        <v/>
      </c>
      <c r="AH42" s="84" t="str">
        <f t="shared" si="58"/>
        <v/>
      </c>
      <c r="AI42" s="84" t="str">
        <f t="shared" si="59"/>
        <v/>
      </c>
      <c r="AJ42" s="84" t="str">
        <f t="shared" si="60"/>
        <v/>
      </c>
      <c r="AK42" s="84" t="str">
        <f t="shared" si="61"/>
        <v/>
      </c>
      <c r="AL42" s="84">
        <f t="shared" si="62"/>
        <v>161.99958000000001</v>
      </c>
      <c r="AM42" s="84" t="str">
        <f t="shared" si="63"/>
        <v/>
      </c>
      <c r="AN42" s="84" t="str">
        <f t="shared" si="64"/>
        <v/>
      </c>
      <c r="AO42" s="84" t="str">
        <f t="shared" si="65"/>
        <v/>
      </c>
      <c r="AP42" s="84" t="str">
        <f t="shared" si="66"/>
        <v/>
      </c>
      <c r="AQ42" s="84" t="str">
        <f t="shared" si="67"/>
        <v/>
      </c>
      <c r="AR42" s="84">
        <f t="shared" si="68"/>
        <v>161.99958000000001</v>
      </c>
      <c r="AS42" s="84" t="str">
        <f t="shared" si="69"/>
        <v/>
      </c>
      <c r="AT42" s="84" t="str">
        <f t="shared" si="70"/>
        <v/>
      </c>
      <c r="AU42" s="84" t="str">
        <f t="shared" si="71"/>
        <v/>
      </c>
    </row>
    <row r="43" spans="1:47" ht="19" customHeight="1" x14ac:dyDescent="0.3">
      <c r="A43" s="57" t="s">
        <v>30</v>
      </c>
      <c r="B43" s="57"/>
      <c r="C43" s="57"/>
      <c r="D43" s="89">
        <f>持有情况!G16-ROW()*0.00001</f>
        <v>200.99957000000001</v>
      </c>
      <c r="E43" s="90">
        <v>0</v>
      </c>
      <c r="F43" s="89">
        <v>1</v>
      </c>
      <c r="G43" s="89">
        <v>1</v>
      </c>
      <c r="H43" s="89">
        <v>1</v>
      </c>
      <c r="I43" s="84" t="s">
        <v>305</v>
      </c>
      <c r="J43" s="89">
        <f>IF(路线!C6="计算",INT(60+17*路线!B18+3*路线!B23+40+20)-ROW()*0.00001,INT(60+17*路线!B18+3*路线!B23+40)-ROW()*0.00001)</f>
        <v>200.99957000000001</v>
      </c>
      <c r="K43" s="1"/>
      <c r="L43" s="84">
        <f t="shared" si="36"/>
        <v>200.99957000000001</v>
      </c>
      <c r="M43" s="84">
        <f t="shared" si="37"/>
        <v>200.99957000000001</v>
      </c>
      <c r="N43" s="84">
        <f t="shared" si="38"/>
        <v>200.99957000000001</v>
      </c>
      <c r="O43" s="84" t="str">
        <f t="shared" si="39"/>
        <v/>
      </c>
      <c r="P43" s="84" t="str">
        <f t="shared" si="40"/>
        <v/>
      </c>
      <c r="Q43" s="84" t="str">
        <f t="shared" si="41"/>
        <v/>
      </c>
      <c r="R43" s="84" t="str">
        <f t="shared" si="42"/>
        <v/>
      </c>
      <c r="S43" s="84" t="str">
        <f t="shared" si="43"/>
        <v/>
      </c>
      <c r="T43" s="84" t="str">
        <f t="shared" si="44"/>
        <v/>
      </c>
      <c r="U43" s="84">
        <f t="shared" si="45"/>
        <v>200.99957000000001</v>
      </c>
      <c r="V43" s="84" t="str">
        <f t="shared" si="46"/>
        <v/>
      </c>
      <c r="W43" s="84" t="str">
        <f t="shared" si="47"/>
        <v/>
      </c>
      <c r="X43" s="84">
        <f t="shared" si="48"/>
        <v>200.99957000000001</v>
      </c>
      <c r="Y43" s="84" t="str">
        <f t="shared" si="49"/>
        <v/>
      </c>
      <c r="Z43" s="84" t="str">
        <f t="shared" si="50"/>
        <v/>
      </c>
      <c r="AA43" s="84">
        <f t="shared" si="51"/>
        <v>200.99957000000001</v>
      </c>
      <c r="AB43" s="84" t="str">
        <f t="shared" si="52"/>
        <v/>
      </c>
      <c r="AC43" s="84" t="str">
        <f t="shared" si="53"/>
        <v/>
      </c>
      <c r="AD43" s="84" t="str">
        <f t="shared" si="54"/>
        <v/>
      </c>
      <c r="AE43" s="84" t="str">
        <f t="shared" si="55"/>
        <v/>
      </c>
      <c r="AF43" s="84" t="str">
        <f t="shared" si="56"/>
        <v/>
      </c>
      <c r="AG43" s="84">
        <f t="shared" si="57"/>
        <v>200.99957000000001</v>
      </c>
      <c r="AH43" s="84" t="str">
        <f t="shared" si="58"/>
        <v/>
      </c>
      <c r="AI43" s="84" t="str">
        <f t="shared" si="59"/>
        <v/>
      </c>
      <c r="AJ43" s="84" t="str">
        <f t="shared" si="60"/>
        <v/>
      </c>
      <c r="AK43" s="84" t="str">
        <f t="shared" si="61"/>
        <v/>
      </c>
      <c r="AL43" s="84" t="str">
        <f t="shared" si="62"/>
        <v/>
      </c>
      <c r="AM43" s="84">
        <f t="shared" si="63"/>
        <v>200.99957000000001</v>
      </c>
      <c r="AN43" s="84" t="str">
        <f t="shared" si="64"/>
        <v/>
      </c>
      <c r="AO43" s="84" t="str">
        <f t="shared" si="65"/>
        <v/>
      </c>
      <c r="AP43" s="84" t="str">
        <f t="shared" si="66"/>
        <v/>
      </c>
      <c r="AQ43" s="84" t="str">
        <f t="shared" si="67"/>
        <v/>
      </c>
      <c r="AR43" s="84" t="str">
        <f t="shared" si="68"/>
        <v/>
      </c>
      <c r="AS43" s="84">
        <f t="shared" si="69"/>
        <v>200.99957000000001</v>
      </c>
      <c r="AT43" s="84" t="str">
        <f t="shared" si="70"/>
        <v/>
      </c>
      <c r="AU43" s="84" t="str">
        <f t="shared" si="71"/>
        <v/>
      </c>
    </row>
    <row r="44" spans="1:47" ht="19" customHeight="1" x14ac:dyDescent="0.3">
      <c r="A44" s="57" t="s">
        <v>70</v>
      </c>
      <c r="B44" s="57"/>
      <c r="C44" s="57"/>
      <c r="D44" s="89">
        <f>持有情况!G46-ROW()*0.00001</f>
        <v>218.99956</v>
      </c>
      <c r="E44" s="89">
        <v>1</v>
      </c>
      <c r="F44" s="90">
        <v>0</v>
      </c>
      <c r="G44" s="89">
        <v>1</v>
      </c>
      <c r="H44" s="89">
        <v>1</v>
      </c>
      <c r="I44" s="84" t="s">
        <v>306</v>
      </c>
      <c r="J44" s="89">
        <f>IF(路线!C6="计算",INT((8.5/100)*路线!B12+17*路线!B18+17*路线!B34+40+20)-ROW()*0.00001,INT((8.5/100)*路线!B12+17*路线!B18+17*路线!B34+40)-ROW()*0.00001)</f>
        <v>218.99956</v>
      </c>
      <c r="K44" s="1"/>
      <c r="L44" s="84">
        <f t="shared" si="36"/>
        <v>218.99956</v>
      </c>
      <c r="M44" s="84" t="str">
        <f t="shared" si="37"/>
        <v/>
      </c>
      <c r="N44" s="84" t="str">
        <f t="shared" si="38"/>
        <v/>
      </c>
      <c r="O44" s="84" t="str">
        <f t="shared" si="39"/>
        <v/>
      </c>
      <c r="P44" s="84" t="str">
        <f t="shared" si="40"/>
        <v/>
      </c>
      <c r="Q44" s="84" t="str">
        <f t="shared" si="41"/>
        <v/>
      </c>
      <c r="R44" s="84" t="str">
        <f t="shared" si="42"/>
        <v/>
      </c>
      <c r="S44" s="84" t="str">
        <f t="shared" si="43"/>
        <v/>
      </c>
      <c r="T44" s="84" t="str">
        <f t="shared" si="44"/>
        <v/>
      </c>
      <c r="U44" s="84" t="str">
        <f t="shared" si="45"/>
        <v/>
      </c>
      <c r="V44" s="84" t="str">
        <f t="shared" si="46"/>
        <v/>
      </c>
      <c r="W44" s="84" t="str">
        <f t="shared" si="47"/>
        <v/>
      </c>
      <c r="X44" s="84" t="str">
        <f t="shared" si="48"/>
        <v/>
      </c>
      <c r="Y44" s="84" t="str">
        <f t="shared" si="49"/>
        <v/>
      </c>
      <c r="Z44" s="84" t="str">
        <f t="shared" si="50"/>
        <v/>
      </c>
      <c r="AA44" s="84" t="str">
        <f t="shared" si="51"/>
        <v/>
      </c>
      <c r="AB44" s="84" t="str">
        <f t="shared" si="52"/>
        <v/>
      </c>
      <c r="AC44" s="84" t="str">
        <f t="shared" si="53"/>
        <v/>
      </c>
      <c r="AD44" s="84">
        <f t="shared" si="54"/>
        <v>218.99956</v>
      </c>
      <c r="AE44" s="84" t="str">
        <f t="shared" si="55"/>
        <v/>
      </c>
      <c r="AF44" s="84" t="str">
        <f t="shared" si="56"/>
        <v/>
      </c>
      <c r="AG44" s="84" t="str">
        <f t="shared" si="57"/>
        <v/>
      </c>
      <c r="AH44" s="84" t="str">
        <f t="shared" si="58"/>
        <v/>
      </c>
      <c r="AI44" s="84" t="str">
        <f t="shared" si="59"/>
        <v/>
      </c>
      <c r="AJ44" s="84" t="str">
        <f t="shared" si="60"/>
        <v/>
      </c>
      <c r="AK44" s="84" t="str">
        <f t="shared" si="61"/>
        <v/>
      </c>
      <c r="AL44" s="84" t="str">
        <f t="shared" si="62"/>
        <v/>
      </c>
      <c r="AM44" s="84" t="str">
        <f t="shared" si="63"/>
        <v/>
      </c>
      <c r="AN44" s="84" t="str">
        <f t="shared" si="64"/>
        <v/>
      </c>
      <c r="AO44" s="84" t="str">
        <f t="shared" si="65"/>
        <v/>
      </c>
      <c r="AP44" s="84" t="str">
        <f t="shared" si="66"/>
        <v/>
      </c>
      <c r="AQ44" s="84" t="str">
        <f t="shared" si="67"/>
        <v/>
      </c>
      <c r="AR44" s="84" t="str">
        <f t="shared" si="68"/>
        <v/>
      </c>
      <c r="AS44" s="84" t="str">
        <f t="shared" si="69"/>
        <v/>
      </c>
      <c r="AT44" s="84" t="str">
        <f t="shared" si="70"/>
        <v/>
      </c>
      <c r="AU44" s="84" t="str">
        <f t="shared" si="71"/>
        <v/>
      </c>
    </row>
    <row r="45" spans="1:47" ht="19" customHeight="1" x14ac:dyDescent="0.3">
      <c r="A45" s="57" t="s">
        <v>125</v>
      </c>
      <c r="B45" s="57"/>
      <c r="C45" s="57"/>
      <c r="D45" s="89">
        <f>持有情况!G94-ROW()*0.00001</f>
        <v>179.99955</v>
      </c>
      <c r="E45" s="90">
        <v>0</v>
      </c>
      <c r="F45" s="90">
        <v>0</v>
      </c>
      <c r="G45" s="89">
        <v>1</v>
      </c>
      <c r="H45" s="89">
        <v>1</v>
      </c>
      <c r="I45" s="84" t="s">
        <v>307</v>
      </c>
      <c r="J45" s="89">
        <f>IF(路线!C6="计算",INT((8.5/100)*路线!B12+2*路线!B24+13*路线!B18+40+20)-ROW()*0.00001,INT((8.5/100)*路线!B12+2*路线!B24+13*路线!B18+40)-ROW()*0.00001)</f>
        <v>179.99955</v>
      </c>
      <c r="K45" s="1"/>
      <c r="L45" s="84">
        <f t="shared" si="36"/>
        <v>179.99955</v>
      </c>
      <c r="M45" s="84">
        <f t="shared" si="37"/>
        <v>179.99955</v>
      </c>
      <c r="N45" s="84">
        <f t="shared" si="38"/>
        <v>179.99955</v>
      </c>
      <c r="O45" s="84" t="str">
        <f t="shared" si="39"/>
        <v/>
      </c>
      <c r="P45" s="84" t="str">
        <f t="shared" si="40"/>
        <v/>
      </c>
      <c r="Q45" s="84" t="str">
        <f t="shared" si="41"/>
        <v/>
      </c>
      <c r="R45" s="84" t="str">
        <f t="shared" si="42"/>
        <v/>
      </c>
      <c r="S45" s="84" t="str">
        <f t="shared" si="43"/>
        <v/>
      </c>
      <c r="T45" s="84" t="str">
        <f t="shared" si="44"/>
        <v/>
      </c>
      <c r="U45" s="84" t="str">
        <f t="shared" si="45"/>
        <v/>
      </c>
      <c r="V45" s="84" t="str">
        <f t="shared" si="46"/>
        <v/>
      </c>
      <c r="W45" s="84" t="str">
        <f t="shared" si="47"/>
        <v/>
      </c>
      <c r="X45" s="84" t="str">
        <f t="shared" si="48"/>
        <v/>
      </c>
      <c r="Y45" s="84" t="str">
        <f t="shared" si="49"/>
        <v/>
      </c>
      <c r="Z45" s="84" t="str">
        <f t="shared" si="50"/>
        <v/>
      </c>
      <c r="AA45" s="84" t="str">
        <f t="shared" si="51"/>
        <v/>
      </c>
      <c r="AB45" s="84" t="str">
        <f t="shared" si="52"/>
        <v/>
      </c>
      <c r="AC45" s="84" t="str">
        <f t="shared" si="53"/>
        <v/>
      </c>
      <c r="AD45" s="84">
        <f t="shared" si="54"/>
        <v>179.99955</v>
      </c>
      <c r="AE45" s="84" t="str">
        <f t="shared" si="55"/>
        <v/>
      </c>
      <c r="AF45" s="84" t="str">
        <f t="shared" si="56"/>
        <v/>
      </c>
      <c r="AG45" s="84" t="str">
        <f t="shared" si="57"/>
        <v/>
      </c>
      <c r="AH45" s="84" t="str">
        <f t="shared" si="58"/>
        <v/>
      </c>
      <c r="AI45" s="84" t="str">
        <f t="shared" si="59"/>
        <v/>
      </c>
      <c r="AJ45" s="84">
        <f t="shared" si="60"/>
        <v>179.99955</v>
      </c>
      <c r="AK45" s="84" t="str">
        <f t="shared" si="61"/>
        <v/>
      </c>
      <c r="AL45" s="84" t="str">
        <f t="shared" si="62"/>
        <v/>
      </c>
      <c r="AM45" s="84" t="str">
        <f t="shared" si="63"/>
        <v/>
      </c>
      <c r="AN45" s="84" t="str">
        <f t="shared" si="64"/>
        <v/>
      </c>
      <c r="AO45" s="84" t="str">
        <f t="shared" si="65"/>
        <v/>
      </c>
      <c r="AP45" s="84">
        <f t="shared" si="66"/>
        <v>179.99955</v>
      </c>
      <c r="AQ45" s="84" t="str">
        <f t="shared" si="67"/>
        <v/>
      </c>
      <c r="AR45" s="84" t="str">
        <f t="shared" si="68"/>
        <v/>
      </c>
      <c r="AS45" s="84" t="str">
        <f t="shared" si="69"/>
        <v/>
      </c>
      <c r="AT45" s="84" t="str">
        <f t="shared" si="70"/>
        <v/>
      </c>
      <c r="AU45" s="84" t="str">
        <f t="shared" si="71"/>
        <v/>
      </c>
    </row>
    <row r="46" spans="1:47" ht="19" customHeight="1" x14ac:dyDescent="0.3">
      <c r="A46" s="75" t="s">
        <v>79</v>
      </c>
      <c r="B46" s="75"/>
      <c r="C46" s="75"/>
      <c r="D46" s="89">
        <f>持有情况!Q52-ROW()*0.00001</f>
        <v>180.99954</v>
      </c>
      <c r="E46" s="89">
        <v>1</v>
      </c>
      <c r="F46" s="89">
        <v>1</v>
      </c>
      <c r="G46" s="89">
        <v>2</v>
      </c>
      <c r="H46" s="90">
        <v>0</v>
      </c>
      <c r="I46" s="1"/>
      <c r="J46" s="89">
        <f>INT(60+17*路线!B18+3*路线!B23+40)-ROW()*0.00001</f>
        <v>180.99954</v>
      </c>
      <c r="K46" s="1"/>
      <c r="L46" s="84" t="str">
        <f t="shared" si="36"/>
        <v/>
      </c>
      <c r="M46" s="84" t="str">
        <f t="shared" si="37"/>
        <v/>
      </c>
      <c r="N46" s="84" t="str">
        <f t="shared" si="38"/>
        <v/>
      </c>
      <c r="O46" s="84">
        <f t="shared" si="39"/>
        <v>180.99954</v>
      </c>
      <c r="P46" s="84" t="str">
        <f t="shared" si="40"/>
        <v/>
      </c>
      <c r="Q46" s="84" t="str">
        <f t="shared" si="41"/>
        <v/>
      </c>
      <c r="R46" s="84" t="str">
        <f t="shared" si="42"/>
        <v/>
      </c>
      <c r="S46" s="84" t="str">
        <f t="shared" si="43"/>
        <v/>
      </c>
      <c r="T46" s="84" t="str">
        <f t="shared" si="44"/>
        <v/>
      </c>
      <c r="U46" s="84" t="str">
        <f t="shared" si="45"/>
        <v/>
      </c>
      <c r="V46" s="84">
        <f t="shared" si="46"/>
        <v>180.99954</v>
      </c>
      <c r="W46" s="84" t="str">
        <f t="shared" si="47"/>
        <v/>
      </c>
      <c r="X46" s="84" t="str">
        <f t="shared" si="48"/>
        <v/>
      </c>
      <c r="Y46" s="84" t="str">
        <f t="shared" si="49"/>
        <v/>
      </c>
      <c r="Z46" s="84" t="str">
        <f t="shared" si="50"/>
        <v/>
      </c>
      <c r="AA46" s="84" t="str">
        <f t="shared" si="51"/>
        <v/>
      </c>
      <c r="AB46" s="84" t="str">
        <f t="shared" si="52"/>
        <v/>
      </c>
      <c r="AC46" s="84" t="str">
        <f t="shared" si="53"/>
        <v/>
      </c>
      <c r="AD46" s="84" t="str">
        <f t="shared" si="54"/>
        <v/>
      </c>
      <c r="AE46" s="84" t="str">
        <f t="shared" si="55"/>
        <v/>
      </c>
      <c r="AF46" s="84" t="str">
        <f t="shared" si="56"/>
        <v/>
      </c>
      <c r="AG46" s="84" t="str">
        <f t="shared" si="57"/>
        <v/>
      </c>
      <c r="AH46" s="84">
        <f t="shared" si="58"/>
        <v>180.99954</v>
      </c>
      <c r="AI46" s="84" t="str">
        <f t="shared" si="59"/>
        <v/>
      </c>
      <c r="AJ46" s="84" t="str">
        <f t="shared" si="60"/>
        <v/>
      </c>
      <c r="AK46" s="84" t="str">
        <f t="shared" si="61"/>
        <v/>
      </c>
      <c r="AL46" s="84" t="str">
        <f t="shared" si="62"/>
        <v/>
      </c>
      <c r="AM46" s="84" t="str">
        <f t="shared" si="63"/>
        <v/>
      </c>
      <c r="AN46" s="84" t="str">
        <f t="shared" si="64"/>
        <v/>
      </c>
      <c r="AO46" s="84" t="str">
        <f t="shared" si="65"/>
        <v/>
      </c>
      <c r="AP46" s="84" t="str">
        <f t="shared" si="66"/>
        <v/>
      </c>
      <c r="AQ46" s="84" t="str">
        <f t="shared" si="67"/>
        <v/>
      </c>
      <c r="AR46" s="84" t="str">
        <f t="shared" si="68"/>
        <v/>
      </c>
      <c r="AS46" s="84" t="str">
        <f t="shared" si="69"/>
        <v/>
      </c>
      <c r="AT46" s="84" t="str">
        <f t="shared" si="70"/>
        <v/>
      </c>
      <c r="AU46" s="84" t="str">
        <f t="shared" si="71"/>
        <v/>
      </c>
    </row>
    <row r="47" spans="1:47" ht="19" customHeight="1" x14ac:dyDescent="0.3">
      <c r="A47" s="75" t="s">
        <v>113</v>
      </c>
      <c r="B47" s="75"/>
      <c r="C47" s="75"/>
      <c r="D47" s="89">
        <f>持有情况!Q82-ROW()*0.00001</f>
        <v>180.99952999999999</v>
      </c>
      <c r="E47" s="89">
        <v>3</v>
      </c>
      <c r="F47" s="89">
        <v>1</v>
      </c>
      <c r="G47" s="89">
        <v>2</v>
      </c>
      <c r="H47" s="89">
        <v>1</v>
      </c>
      <c r="I47" s="84" t="s">
        <v>308</v>
      </c>
      <c r="J47" s="89">
        <f>INT(60+17*路线!B18+3*路线!B23+40)-ROW()*0.00001</f>
        <v>180.99952999999999</v>
      </c>
      <c r="K47" s="1"/>
      <c r="L47" s="84" t="str">
        <f t="shared" si="36"/>
        <v/>
      </c>
      <c r="M47" s="84" t="str">
        <f t="shared" si="37"/>
        <v/>
      </c>
      <c r="N47" s="84" t="str">
        <f t="shared" si="38"/>
        <v/>
      </c>
      <c r="O47" s="84" t="str">
        <f t="shared" si="39"/>
        <v/>
      </c>
      <c r="P47" s="84" t="str">
        <f t="shared" si="40"/>
        <v/>
      </c>
      <c r="Q47" s="84">
        <f t="shared" si="41"/>
        <v>180.99952999999999</v>
      </c>
      <c r="R47" s="84" t="str">
        <f t="shared" si="42"/>
        <v/>
      </c>
      <c r="S47" s="84" t="str">
        <f t="shared" si="43"/>
        <v/>
      </c>
      <c r="T47" s="84" t="str">
        <f t="shared" si="44"/>
        <v/>
      </c>
      <c r="U47" s="84" t="str">
        <f t="shared" si="45"/>
        <v/>
      </c>
      <c r="V47" s="84" t="str">
        <f t="shared" si="46"/>
        <v/>
      </c>
      <c r="W47" s="84" t="str">
        <f t="shared" si="47"/>
        <v/>
      </c>
      <c r="X47" s="84" t="str">
        <f t="shared" si="48"/>
        <v/>
      </c>
      <c r="Y47" s="84" t="str">
        <f t="shared" si="49"/>
        <v/>
      </c>
      <c r="Z47" s="84" t="str">
        <f t="shared" si="50"/>
        <v/>
      </c>
      <c r="AA47" s="84" t="str">
        <f t="shared" si="51"/>
        <v/>
      </c>
      <c r="AB47" s="84">
        <f t="shared" si="52"/>
        <v>180.99952999999999</v>
      </c>
      <c r="AC47" s="84" t="str">
        <f t="shared" si="53"/>
        <v/>
      </c>
      <c r="AD47" s="84" t="str">
        <f t="shared" si="54"/>
        <v/>
      </c>
      <c r="AE47" s="84" t="str">
        <f t="shared" si="55"/>
        <v/>
      </c>
      <c r="AF47" s="84" t="str">
        <f t="shared" si="56"/>
        <v/>
      </c>
      <c r="AG47" s="84" t="str">
        <f t="shared" si="57"/>
        <v/>
      </c>
      <c r="AH47" s="84" t="str">
        <f t="shared" si="58"/>
        <v/>
      </c>
      <c r="AI47" s="84" t="str">
        <f t="shared" si="59"/>
        <v/>
      </c>
      <c r="AJ47" s="84" t="str">
        <f t="shared" si="60"/>
        <v/>
      </c>
      <c r="AK47" s="84" t="str">
        <f t="shared" si="61"/>
        <v/>
      </c>
      <c r="AL47" s="84" t="str">
        <f t="shared" si="62"/>
        <v/>
      </c>
      <c r="AM47" s="84" t="str">
        <f t="shared" si="63"/>
        <v/>
      </c>
      <c r="AN47" s="84" t="str">
        <f t="shared" si="64"/>
        <v/>
      </c>
      <c r="AO47" s="84" t="str">
        <f t="shared" si="65"/>
        <v/>
      </c>
      <c r="AP47" s="84" t="str">
        <f t="shared" si="66"/>
        <v/>
      </c>
      <c r="AQ47" s="84" t="str">
        <f t="shared" si="67"/>
        <v/>
      </c>
      <c r="AR47" s="84" t="str">
        <f t="shared" si="68"/>
        <v/>
      </c>
      <c r="AS47" s="84" t="str">
        <f t="shared" si="69"/>
        <v/>
      </c>
      <c r="AT47" s="84">
        <f t="shared" si="70"/>
        <v>180.99952999999999</v>
      </c>
      <c r="AU47" s="84" t="str">
        <f t="shared" si="71"/>
        <v/>
      </c>
    </row>
    <row r="48" spans="1:47" ht="19" customHeight="1" x14ac:dyDescent="0.3">
      <c r="A48" s="67" t="s">
        <v>87</v>
      </c>
      <c r="B48" s="67"/>
      <c r="C48" s="67"/>
      <c r="D48" s="89">
        <f>持有情况!AA58-ROW()*0.00001</f>
        <v>192.99951999999999</v>
      </c>
      <c r="E48" s="89">
        <v>2</v>
      </c>
      <c r="F48" s="90">
        <v>0</v>
      </c>
      <c r="G48" s="89">
        <v>3</v>
      </c>
      <c r="H48" s="89">
        <v>1</v>
      </c>
      <c r="I48" s="84" t="s">
        <v>309</v>
      </c>
      <c r="J48" s="89">
        <f>IF(路线!C6="计算",INT(60+17*路线!B18+11*路线!B39+40+20)-ROW()*0.00001,INT(60+17*路线!B18+11*路线!B39+40)-ROW()*0.00001)</f>
        <v>192.99951999999999</v>
      </c>
      <c r="K48" s="1"/>
      <c r="L48" s="84" t="str">
        <f t="shared" si="36"/>
        <v/>
      </c>
      <c r="M48" s="84" t="str">
        <f t="shared" si="37"/>
        <v/>
      </c>
      <c r="N48" s="84" t="str">
        <f t="shared" si="38"/>
        <v/>
      </c>
      <c r="O48" s="84" t="str">
        <f t="shared" si="39"/>
        <v/>
      </c>
      <c r="P48" s="84" t="str">
        <f t="shared" si="40"/>
        <v/>
      </c>
      <c r="Q48" s="84" t="str">
        <f t="shared" si="41"/>
        <v/>
      </c>
      <c r="R48" s="84" t="str">
        <f t="shared" si="42"/>
        <v/>
      </c>
      <c r="S48" s="84">
        <f t="shared" si="43"/>
        <v>192.99951999999999</v>
      </c>
      <c r="T48" s="84" t="str">
        <f t="shared" si="44"/>
        <v/>
      </c>
      <c r="U48" s="84" t="str">
        <f t="shared" si="45"/>
        <v/>
      </c>
      <c r="V48" s="84" t="str">
        <f t="shared" si="46"/>
        <v/>
      </c>
      <c r="W48" s="84" t="str">
        <f t="shared" si="47"/>
        <v/>
      </c>
      <c r="X48" s="84" t="str">
        <f t="shared" si="48"/>
        <v/>
      </c>
      <c r="Y48" s="84" t="str">
        <f t="shared" si="49"/>
        <v/>
      </c>
      <c r="Z48" s="84" t="str">
        <f t="shared" si="50"/>
        <v/>
      </c>
      <c r="AA48" s="84" t="str">
        <f t="shared" si="51"/>
        <v/>
      </c>
      <c r="AB48" s="84" t="str">
        <f t="shared" si="52"/>
        <v/>
      </c>
      <c r="AC48" s="84" t="str">
        <f t="shared" si="53"/>
        <v/>
      </c>
      <c r="AD48" s="84" t="str">
        <f t="shared" si="54"/>
        <v/>
      </c>
      <c r="AE48" s="84" t="str">
        <f t="shared" si="55"/>
        <v/>
      </c>
      <c r="AF48" s="84" t="str">
        <f t="shared" si="56"/>
        <v/>
      </c>
      <c r="AG48" s="84" t="str">
        <f t="shared" si="57"/>
        <v/>
      </c>
      <c r="AH48" s="84" t="str">
        <f t="shared" si="58"/>
        <v/>
      </c>
      <c r="AI48" s="84" t="str">
        <f t="shared" si="59"/>
        <v/>
      </c>
      <c r="AJ48" s="84" t="str">
        <f t="shared" si="60"/>
        <v/>
      </c>
      <c r="AK48" s="84" t="str">
        <f t="shared" si="61"/>
        <v/>
      </c>
      <c r="AL48" s="84">
        <f t="shared" si="62"/>
        <v>192.99951999999999</v>
      </c>
      <c r="AM48" s="84" t="str">
        <f t="shared" si="63"/>
        <v/>
      </c>
      <c r="AN48" s="84" t="str">
        <f t="shared" si="64"/>
        <v/>
      </c>
      <c r="AO48" s="84" t="str">
        <f t="shared" si="65"/>
        <v/>
      </c>
      <c r="AP48" s="84" t="str">
        <f t="shared" si="66"/>
        <v/>
      </c>
      <c r="AQ48" s="84" t="str">
        <f t="shared" si="67"/>
        <v/>
      </c>
      <c r="AR48" s="84" t="str">
        <f t="shared" si="68"/>
        <v/>
      </c>
      <c r="AS48" s="84" t="str">
        <f t="shared" si="69"/>
        <v/>
      </c>
      <c r="AT48" s="84" t="str">
        <f t="shared" si="70"/>
        <v/>
      </c>
      <c r="AU48" s="84" t="str">
        <f t="shared" si="71"/>
        <v/>
      </c>
    </row>
    <row r="49" spans="1:47" ht="19" customHeight="1" x14ac:dyDescent="0.3">
      <c r="A49" s="75" t="s">
        <v>68</v>
      </c>
      <c r="B49" s="75"/>
      <c r="C49" s="75"/>
      <c r="D49" s="89">
        <f>持有情况!AU40-ROW()*0.00001</f>
        <v>113.99951</v>
      </c>
      <c r="E49" s="90">
        <v>0</v>
      </c>
      <c r="F49" s="89">
        <v>1</v>
      </c>
      <c r="G49" s="89">
        <v>2</v>
      </c>
      <c r="H49" s="90">
        <v>0</v>
      </c>
      <c r="I49" s="1"/>
      <c r="J49" s="89">
        <f>INT(45+10*路线!B31+13*路线!B18+30)-ROW()*0.00001</f>
        <v>113.99951</v>
      </c>
      <c r="K49" s="1"/>
      <c r="L49" s="84" t="str">
        <f t="shared" si="36"/>
        <v/>
      </c>
      <c r="M49" s="84" t="str">
        <f t="shared" si="37"/>
        <v/>
      </c>
      <c r="N49" s="84" t="str">
        <f t="shared" si="38"/>
        <v/>
      </c>
      <c r="O49" s="84">
        <f t="shared" si="39"/>
        <v>113.99951</v>
      </c>
      <c r="P49" s="84">
        <f t="shared" si="40"/>
        <v>113.99951</v>
      </c>
      <c r="Q49" s="84">
        <f t="shared" si="41"/>
        <v>113.99951</v>
      </c>
      <c r="R49" s="84" t="str">
        <f t="shared" si="42"/>
        <v/>
      </c>
      <c r="S49" s="84" t="str">
        <f t="shared" si="43"/>
        <v/>
      </c>
      <c r="T49" s="84" t="str">
        <f t="shared" si="44"/>
        <v/>
      </c>
      <c r="U49" s="84" t="str">
        <f t="shared" si="45"/>
        <v/>
      </c>
      <c r="V49" s="84">
        <f t="shared" si="46"/>
        <v>113.99951</v>
      </c>
      <c r="W49" s="84" t="str">
        <f t="shared" si="47"/>
        <v/>
      </c>
      <c r="X49" s="84" t="str">
        <f t="shared" si="48"/>
        <v/>
      </c>
      <c r="Y49" s="84">
        <f t="shared" si="49"/>
        <v>113.99951</v>
      </c>
      <c r="Z49" s="84" t="str">
        <f t="shared" si="50"/>
        <v/>
      </c>
      <c r="AA49" s="84" t="str">
        <f t="shared" si="51"/>
        <v/>
      </c>
      <c r="AB49" s="84">
        <f t="shared" si="52"/>
        <v>113.99951</v>
      </c>
      <c r="AC49" s="84" t="str">
        <f t="shared" si="53"/>
        <v/>
      </c>
      <c r="AD49" s="84" t="str">
        <f t="shared" si="54"/>
        <v/>
      </c>
      <c r="AE49" s="84" t="str">
        <f t="shared" si="55"/>
        <v/>
      </c>
      <c r="AF49" s="84" t="str">
        <f t="shared" si="56"/>
        <v/>
      </c>
      <c r="AG49" s="84" t="str">
        <f t="shared" si="57"/>
        <v/>
      </c>
      <c r="AH49" s="84">
        <f t="shared" si="58"/>
        <v>113.99951</v>
      </c>
      <c r="AI49" s="84" t="str">
        <f t="shared" si="59"/>
        <v/>
      </c>
      <c r="AJ49" s="84" t="str">
        <f t="shared" si="60"/>
        <v/>
      </c>
      <c r="AK49" s="84" t="str">
        <f t="shared" si="61"/>
        <v/>
      </c>
      <c r="AL49" s="84" t="str">
        <f t="shared" si="62"/>
        <v/>
      </c>
      <c r="AM49" s="84" t="str">
        <f t="shared" si="63"/>
        <v/>
      </c>
      <c r="AN49" s="84">
        <f t="shared" si="64"/>
        <v>113.99951</v>
      </c>
      <c r="AO49" s="84" t="str">
        <f t="shared" si="65"/>
        <v/>
      </c>
      <c r="AP49" s="84" t="str">
        <f t="shared" si="66"/>
        <v/>
      </c>
      <c r="AQ49" s="84" t="str">
        <f t="shared" si="67"/>
        <v/>
      </c>
      <c r="AR49" s="84" t="str">
        <f t="shared" si="68"/>
        <v/>
      </c>
      <c r="AS49" s="84" t="str">
        <f t="shared" si="69"/>
        <v/>
      </c>
      <c r="AT49" s="84">
        <f t="shared" si="70"/>
        <v>113.99951</v>
      </c>
      <c r="AU49" s="84" t="str">
        <f t="shared" si="71"/>
        <v/>
      </c>
    </row>
    <row r="50" spans="1:47" ht="19" customHeight="1" x14ac:dyDescent="0.3">
      <c r="A50" s="67" t="s">
        <v>76</v>
      </c>
      <c r="B50" s="67"/>
      <c r="C50" s="67"/>
      <c r="D50" s="89">
        <f>持有情况!BE46-ROW()*0.00001</f>
        <v>146.99950000000001</v>
      </c>
      <c r="E50" s="89">
        <v>2</v>
      </c>
      <c r="F50" s="90">
        <v>0</v>
      </c>
      <c r="G50" s="89">
        <v>3</v>
      </c>
      <c r="H50" s="90">
        <v>0</v>
      </c>
      <c r="I50" s="1"/>
      <c r="J50" s="89">
        <f>INT(45+10*路线!B31+11*路线!B34+13*路线!B18+30)-ROW()*0.00001</f>
        <v>146.99950000000001</v>
      </c>
      <c r="K50" s="1"/>
      <c r="L50" s="84" t="str">
        <f t="shared" si="36"/>
        <v/>
      </c>
      <c r="M50" s="84" t="str">
        <f t="shared" si="37"/>
        <v/>
      </c>
      <c r="N50" s="84" t="str">
        <f t="shared" si="38"/>
        <v/>
      </c>
      <c r="O50" s="84" t="str">
        <f t="shared" si="39"/>
        <v/>
      </c>
      <c r="P50" s="84" t="str">
        <f t="shared" si="40"/>
        <v/>
      </c>
      <c r="Q50" s="84" t="str">
        <f t="shared" si="41"/>
        <v/>
      </c>
      <c r="R50" s="84" t="str">
        <f t="shared" si="42"/>
        <v/>
      </c>
      <c r="S50" s="84">
        <f t="shared" si="43"/>
        <v>146.99950000000001</v>
      </c>
      <c r="T50" s="84" t="str">
        <f t="shared" si="44"/>
        <v/>
      </c>
      <c r="U50" s="84" t="str">
        <f t="shared" si="45"/>
        <v/>
      </c>
      <c r="V50" s="84" t="str">
        <f t="shared" si="46"/>
        <v/>
      </c>
      <c r="W50" s="84" t="str">
        <f t="shared" si="47"/>
        <v/>
      </c>
      <c r="X50" s="84" t="str">
        <f t="shared" si="48"/>
        <v/>
      </c>
      <c r="Y50" s="84" t="str">
        <f t="shared" si="49"/>
        <v/>
      </c>
      <c r="Z50" s="84" t="str">
        <f t="shared" si="50"/>
        <v/>
      </c>
      <c r="AA50" s="84" t="str">
        <f t="shared" si="51"/>
        <v/>
      </c>
      <c r="AB50" s="84" t="str">
        <f t="shared" si="52"/>
        <v/>
      </c>
      <c r="AC50" s="84" t="str">
        <f t="shared" si="53"/>
        <v/>
      </c>
      <c r="AD50" s="84" t="str">
        <f t="shared" si="54"/>
        <v/>
      </c>
      <c r="AE50" s="84" t="str">
        <f t="shared" si="55"/>
        <v/>
      </c>
      <c r="AF50" s="84" t="str">
        <f t="shared" si="56"/>
        <v/>
      </c>
      <c r="AG50" s="84" t="str">
        <f t="shared" si="57"/>
        <v/>
      </c>
      <c r="AH50" s="84" t="str">
        <f t="shared" si="58"/>
        <v/>
      </c>
      <c r="AI50" s="84" t="str">
        <f t="shared" si="59"/>
        <v/>
      </c>
      <c r="AJ50" s="84" t="str">
        <f t="shared" si="60"/>
        <v/>
      </c>
      <c r="AK50" s="84" t="str">
        <f t="shared" si="61"/>
        <v/>
      </c>
      <c r="AL50" s="84">
        <f t="shared" si="62"/>
        <v>146.99950000000001</v>
      </c>
      <c r="AM50" s="84" t="str">
        <f t="shared" si="63"/>
        <v/>
      </c>
      <c r="AN50" s="84" t="str">
        <f t="shared" si="64"/>
        <v/>
      </c>
      <c r="AO50" s="84" t="str">
        <f t="shared" si="65"/>
        <v/>
      </c>
      <c r="AP50" s="84" t="str">
        <f t="shared" si="66"/>
        <v/>
      </c>
      <c r="AQ50" s="84" t="str">
        <f t="shared" si="67"/>
        <v/>
      </c>
      <c r="AR50" s="84" t="str">
        <f t="shared" si="68"/>
        <v/>
      </c>
      <c r="AS50" s="84" t="str">
        <f t="shared" si="69"/>
        <v/>
      </c>
      <c r="AT50" s="84" t="str">
        <f t="shared" si="70"/>
        <v/>
      </c>
      <c r="AU50" s="84" t="str">
        <f t="shared" si="71"/>
        <v/>
      </c>
    </row>
    <row r="51" spans="1:47" ht="19" customHeight="1" x14ac:dyDescent="0.3">
      <c r="A51" s="57" t="s">
        <v>0</v>
      </c>
      <c r="B51" s="57"/>
      <c r="C51" s="57"/>
      <c r="D51" s="94">
        <f>持有情况!G4-ROW()*0.00001</f>
        <v>166.99949000000001</v>
      </c>
      <c r="E51" s="90">
        <v>0</v>
      </c>
      <c r="F51" s="90">
        <v>0</v>
      </c>
      <c r="G51" s="89">
        <v>1</v>
      </c>
      <c r="H51" s="89">
        <v>1</v>
      </c>
      <c r="I51" s="84" t="s">
        <v>310</v>
      </c>
      <c r="J51" s="89">
        <f>INT(60+6*路线!B17+7*路线!B30+40)-ROW()*0.00001</f>
        <v>166.99949000000001</v>
      </c>
      <c r="K51" s="1"/>
      <c r="L51" s="84">
        <f t="shared" si="36"/>
        <v>166.99949000000001</v>
      </c>
      <c r="M51" s="84">
        <f t="shared" si="37"/>
        <v>166.99949000000001</v>
      </c>
      <c r="N51" s="84">
        <f t="shared" si="38"/>
        <v>166.99949000000001</v>
      </c>
      <c r="O51" s="84" t="str">
        <f t="shared" si="39"/>
        <v/>
      </c>
      <c r="P51" s="84" t="str">
        <f t="shared" si="40"/>
        <v/>
      </c>
      <c r="Q51" s="84" t="str">
        <f t="shared" si="41"/>
        <v/>
      </c>
      <c r="R51" s="84" t="str">
        <f t="shared" si="42"/>
        <v/>
      </c>
      <c r="S51" s="84" t="str">
        <f t="shared" si="43"/>
        <v/>
      </c>
      <c r="T51" s="84" t="str">
        <f t="shared" si="44"/>
        <v/>
      </c>
      <c r="U51" s="84" t="str">
        <f t="shared" si="45"/>
        <v/>
      </c>
      <c r="V51" s="84" t="str">
        <f t="shared" si="46"/>
        <v/>
      </c>
      <c r="W51" s="84" t="str">
        <f t="shared" si="47"/>
        <v/>
      </c>
      <c r="X51" s="84" t="str">
        <f t="shared" si="48"/>
        <v/>
      </c>
      <c r="Y51" s="84" t="str">
        <f t="shared" si="49"/>
        <v/>
      </c>
      <c r="Z51" s="84" t="str">
        <f t="shared" si="50"/>
        <v/>
      </c>
      <c r="AA51" s="84" t="str">
        <f t="shared" si="51"/>
        <v/>
      </c>
      <c r="AB51" s="84" t="str">
        <f t="shared" si="52"/>
        <v/>
      </c>
      <c r="AC51" s="84" t="str">
        <f t="shared" si="53"/>
        <v/>
      </c>
      <c r="AD51" s="84">
        <f t="shared" si="54"/>
        <v>166.99949000000001</v>
      </c>
      <c r="AE51" s="84" t="str">
        <f t="shared" si="55"/>
        <v/>
      </c>
      <c r="AF51" s="84" t="str">
        <f t="shared" si="56"/>
        <v/>
      </c>
      <c r="AG51" s="84" t="str">
        <f t="shared" si="57"/>
        <v/>
      </c>
      <c r="AH51" s="84" t="str">
        <f t="shared" si="58"/>
        <v/>
      </c>
      <c r="AI51" s="84" t="str">
        <f t="shared" si="59"/>
        <v/>
      </c>
      <c r="AJ51" s="84">
        <f t="shared" si="60"/>
        <v>166.99949000000001</v>
      </c>
      <c r="AK51" s="84" t="str">
        <f t="shared" si="61"/>
        <v/>
      </c>
      <c r="AL51" s="84" t="str">
        <f t="shared" si="62"/>
        <v/>
      </c>
      <c r="AM51" s="84" t="str">
        <f t="shared" si="63"/>
        <v/>
      </c>
      <c r="AN51" s="84" t="str">
        <f t="shared" si="64"/>
        <v/>
      </c>
      <c r="AO51" s="84" t="str">
        <f t="shared" si="65"/>
        <v/>
      </c>
      <c r="AP51" s="84">
        <f t="shared" si="66"/>
        <v>166.99949000000001</v>
      </c>
      <c r="AQ51" s="84" t="str">
        <f t="shared" si="67"/>
        <v/>
      </c>
      <c r="AR51" s="84" t="str">
        <f t="shared" si="68"/>
        <v/>
      </c>
      <c r="AS51" s="84" t="str">
        <f t="shared" si="69"/>
        <v/>
      </c>
      <c r="AT51" s="84" t="str">
        <f t="shared" si="70"/>
        <v/>
      </c>
      <c r="AU51" s="84" t="str">
        <f t="shared" si="71"/>
        <v/>
      </c>
    </row>
    <row r="52" spans="1:47" ht="19" customHeight="1" x14ac:dyDescent="0.3">
      <c r="A52" s="57" t="s">
        <v>101</v>
      </c>
      <c r="B52" s="57"/>
      <c r="C52" s="57"/>
      <c r="D52" s="89">
        <f>持有情况!AK70-ROW()*0.00001</f>
        <v>127.99948000000001</v>
      </c>
      <c r="E52" s="89">
        <v>2</v>
      </c>
      <c r="F52" s="90">
        <v>0</v>
      </c>
      <c r="G52" s="89">
        <v>1</v>
      </c>
      <c r="H52" s="89">
        <v>1</v>
      </c>
      <c r="I52" s="84" t="s">
        <v>311</v>
      </c>
      <c r="J52" s="89">
        <f>IF(路线!C6="计算",INT((6.4/100)*路线!B12+5*路线!B30+10*路线!B31+30+20)-ROW()*0.00001,INT((6.4/100)*路线!B12+5*路线!B30+10*路线!B31+30)-ROW()*0.00001)</f>
        <v>127.99948000000001</v>
      </c>
      <c r="K52" s="1"/>
      <c r="L52" s="84" t="str">
        <f t="shared" si="36"/>
        <v/>
      </c>
      <c r="M52" s="84">
        <f t="shared" si="37"/>
        <v>127.99948000000001</v>
      </c>
      <c r="N52" s="84" t="str">
        <f t="shared" si="38"/>
        <v/>
      </c>
      <c r="O52" s="84" t="str">
        <f t="shared" si="39"/>
        <v/>
      </c>
      <c r="P52" s="84" t="str">
        <f t="shared" si="40"/>
        <v/>
      </c>
      <c r="Q52" s="84" t="str">
        <f t="shared" si="41"/>
        <v/>
      </c>
      <c r="R52" s="84" t="str">
        <f t="shared" si="42"/>
        <v/>
      </c>
      <c r="S52" s="84" t="str">
        <f t="shared" si="43"/>
        <v/>
      </c>
      <c r="T52" s="84" t="str">
        <f t="shared" si="44"/>
        <v/>
      </c>
      <c r="U52" s="84" t="str">
        <f t="shared" si="45"/>
        <v/>
      </c>
      <c r="V52" s="84" t="str">
        <f t="shared" si="46"/>
        <v/>
      </c>
      <c r="W52" s="84" t="str">
        <f t="shared" si="47"/>
        <v/>
      </c>
      <c r="X52" s="84" t="str">
        <f t="shared" si="48"/>
        <v/>
      </c>
      <c r="Y52" s="84" t="str">
        <f t="shared" si="49"/>
        <v/>
      </c>
      <c r="Z52" s="84" t="str">
        <f t="shared" si="50"/>
        <v/>
      </c>
      <c r="AA52" s="84" t="str">
        <f t="shared" si="51"/>
        <v/>
      </c>
      <c r="AB52" s="84" t="str">
        <f t="shared" si="52"/>
        <v/>
      </c>
      <c r="AC52" s="84" t="str">
        <f t="shared" si="53"/>
        <v/>
      </c>
      <c r="AD52" s="84" t="str">
        <f t="shared" si="54"/>
        <v/>
      </c>
      <c r="AE52" s="84" t="str">
        <f t="shared" si="55"/>
        <v/>
      </c>
      <c r="AF52" s="84" t="str">
        <f t="shared" si="56"/>
        <v/>
      </c>
      <c r="AG52" s="84" t="str">
        <f t="shared" si="57"/>
        <v/>
      </c>
      <c r="AH52" s="84" t="str">
        <f t="shared" si="58"/>
        <v/>
      </c>
      <c r="AI52" s="84" t="str">
        <f t="shared" si="59"/>
        <v/>
      </c>
      <c r="AJ52" s="84">
        <f t="shared" si="60"/>
        <v>127.99948000000001</v>
      </c>
      <c r="AK52" s="84" t="str">
        <f t="shared" si="61"/>
        <v/>
      </c>
      <c r="AL52" s="84" t="str">
        <f t="shared" si="62"/>
        <v/>
      </c>
      <c r="AM52" s="84" t="str">
        <f t="shared" si="63"/>
        <v/>
      </c>
      <c r="AN52" s="84" t="str">
        <f t="shared" si="64"/>
        <v/>
      </c>
      <c r="AO52" s="84" t="str">
        <f t="shared" si="65"/>
        <v/>
      </c>
      <c r="AP52" s="84" t="str">
        <f t="shared" si="66"/>
        <v/>
      </c>
      <c r="AQ52" s="84" t="str">
        <f t="shared" si="67"/>
        <v/>
      </c>
      <c r="AR52" s="84" t="str">
        <f t="shared" si="68"/>
        <v/>
      </c>
      <c r="AS52" s="84" t="str">
        <f t="shared" si="69"/>
        <v/>
      </c>
      <c r="AT52" s="84" t="str">
        <f t="shared" si="70"/>
        <v/>
      </c>
      <c r="AU52" s="84" t="str">
        <f t="shared" si="71"/>
        <v/>
      </c>
    </row>
    <row r="53" spans="1:47" ht="19" customHeight="1" x14ac:dyDescent="0.3">
      <c r="A53" s="75" t="s">
        <v>92</v>
      </c>
      <c r="B53" s="75"/>
      <c r="C53" s="75"/>
      <c r="D53" s="89">
        <f>持有情况!Q64-ROW()*0.00001</f>
        <v>221.99947</v>
      </c>
      <c r="E53" s="89">
        <v>2</v>
      </c>
      <c r="F53" s="89">
        <v>1</v>
      </c>
      <c r="G53" s="89">
        <v>2</v>
      </c>
      <c r="H53" s="89">
        <v>1</v>
      </c>
      <c r="I53" s="84" t="s">
        <v>312</v>
      </c>
      <c r="J53" s="89">
        <f>IF(路线!C6="计算",INT(60+17*路线!B18+17*路线!B34+40+20)-ROW()*0.00001,INT(60+17*路线!B18+17*路线!B34+40)-ROW()*0.00001)</f>
        <v>221.99947</v>
      </c>
      <c r="K53" s="1"/>
      <c r="L53" s="84" t="str">
        <f t="shared" si="36"/>
        <v/>
      </c>
      <c r="M53" s="84" t="str">
        <f t="shared" si="37"/>
        <v/>
      </c>
      <c r="N53" s="84" t="str">
        <f t="shared" si="38"/>
        <v/>
      </c>
      <c r="O53" s="84" t="str">
        <f t="shared" si="39"/>
        <v/>
      </c>
      <c r="P53" s="84">
        <f t="shared" si="40"/>
        <v>221.99947</v>
      </c>
      <c r="Q53" s="84" t="str">
        <f t="shared" si="41"/>
        <v/>
      </c>
      <c r="R53" s="84" t="str">
        <f t="shared" si="42"/>
        <v/>
      </c>
      <c r="S53" s="84" t="str">
        <f t="shared" si="43"/>
        <v/>
      </c>
      <c r="T53" s="84" t="str">
        <f t="shared" si="44"/>
        <v/>
      </c>
      <c r="U53" s="84" t="str">
        <f t="shared" si="45"/>
        <v/>
      </c>
      <c r="V53" s="84" t="str">
        <f t="shared" si="46"/>
        <v/>
      </c>
      <c r="W53" s="84" t="str">
        <f t="shared" si="47"/>
        <v/>
      </c>
      <c r="X53" s="84" t="str">
        <f t="shared" si="48"/>
        <v/>
      </c>
      <c r="Y53" s="84">
        <f t="shared" si="49"/>
        <v>221.99947</v>
      </c>
      <c r="Z53" s="84" t="str">
        <f t="shared" si="50"/>
        <v/>
      </c>
      <c r="AA53" s="84" t="str">
        <f t="shared" si="51"/>
        <v/>
      </c>
      <c r="AB53" s="84" t="str">
        <f t="shared" si="52"/>
        <v/>
      </c>
      <c r="AC53" s="84" t="str">
        <f t="shared" si="53"/>
        <v/>
      </c>
      <c r="AD53" s="84" t="str">
        <f t="shared" si="54"/>
        <v/>
      </c>
      <c r="AE53" s="84" t="str">
        <f t="shared" si="55"/>
        <v/>
      </c>
      <c r="AF53" s="84" t="str">
        <f t="shared" si="56"/>
        <v/>
      </c>
      <c r="AG53" s="84" t="str">
        <f t="shared" si="57"/>
        <v/>
      </c>
      <c r="AH53" s="84" t="str">
        <f t="shared" si="58"/>
        <v/>
      </c>
      <c r="AI53" s="84" t="str">
        <f t="shared" si="59"/>
        <v/>
      </c>
      <c r="AJ53" s="84" t="str">
        <f t="shared" si="60"/>
        <v/>
      </c>
      <c r="AK53" s="84" t="str">
        <f t="shared" si="61"/>
        <v/>
      </c>
      <c r="AL53" s="84" t="str">
        <f t="shared" si="62"/>
        <v/>
      </c>
      <c r="AM53" s="84" t="str">
        <f t="shared" si="63"/>
        <v/>
      </c>
      <c r="AN53" s="84">
        <f t="shared" si="64"/>
        <v>221.99947</v>
      </c>
      <c r="AO53" s="84" t="str">
        <f t="shared" si="65"/>
        <v/>
      </c>
      <c r="AP53" s="84" t="str">
        <f t="shared" si="66"/>
        <v/>
      </c>
      <c r="AQ53" s="84" t="str">
        <f t="shared" si="67"/>
        <v/>
      </c>
      <c r="AR53" s="84" t="str">
        <f t="shared" si="68"/>
        <v/>
      </c>
      <c r="AS53" s="84" t="str">
        <f t="shared" si="69"/>
        <v/>
      </c>
      <c r="AT53" s="84" t="str">
        <f t="shared" si="70"/>
        <v/>
      </c>
      <c r="AU53" s="84" t="str">
        <f t="shared" si="71"/>
        <v/>
      </c>
    </row>
    <row r="54" spans="1:47" ht="19" customHeight="1" x14ac:dyDescent="0.3">
      <c r="A54" s="75" t="s">
        <v>89</v>
      </c>
      <c r="B54" s="75"/>
      <c r="C54" s="75"/>
      <c r="D54" s="89">
        <f>持有情况!AU58-ROW()*0.00001</f>
        <v>140.99946</v>
      </c>
      <c r="E54" s="89">
        <v>1</v>
      </c>
      <c r="F54" s="90">
        <v>0</v>
      </c>
      <c r="G54" s="89">
        <v>2</v>
      </c>
      <c r="H54" s="89">
        <v>1</v>
      </c>
      <c r="I54" s="84" t="s">
        <v>313</v>
      </c>
      <c r="J54" s="89">
        <f>INT((6.4/100)*路线!B12+3*(路线!B28+路线!B29)+17+13*路线!B18+30)-ROW()*0.00001</f>
        <v>140.99946</v>
      </c>
      <c r="K54" s="1"/>
      <c r="L54" s="84" t="str">
        <f t="shared" si="36"/>
        <v/>
      </c>
      <c r="M54" s="84" t="str">
        <f t="shared" si="37"/>
        <v/>
      </c>
      <c r="N54" s="84" t="str">
        <f t="shared" si="38"/>
        <v/>
      </c>
      <c r="O54" s="84">
        <f t="shared" si="39"/>
        <v>140.99946</v>
      </c>
      <c r="P54" s="84" t="str">
        <f t="shared" si="40"/>
        <v/>
      </c>
      <c r="Q54" s="84" t="str">
        <f t="shared" si="41"/>
        <v/>
      </c>
      <c r="R54" s="84" t="str">
        <f t="shared" si="42"/>
        <v/>
      </c>
      <c r="S54" s="84" t="str">
        <f t="shared" si="43"/>
        <v/>
      </c>
      <c r="T54" s="84" t="str">
        <f t="shared" si="44"/>
        <v/>
      </c>
      <c r="U54" s="84" t="str">
        <f t="shared" si="45"/>
        <v/>
      </c>
      <c r="V54" s="84" t="str">
        <f t="shared" si="46"/>
        <v/>
      </c>
      <c r="W54" s="84" t="str">
        <f t="shared" si="47"/>
        <v/>
      </c>
      <c r="X54" s="84" t="str">
        <f t="shared" si="48"/>
        <v/>
      </c>
      <c r="Y54" s="84" t="str">
        <f t="shared" si="49"/>
        <v/>
      </c>
      <c r="Z54" s="84" t="str">
        <f t="shared" si="50"/>
        <v/>
      </c>
      <c r="AA54" s="84" t="str">
        <f t="shared" si="51"/>
        <v/>
      </c>
      <c r="AB54" s="84" t="str">
        <f t="shared" si="52"/>
        <v/>
      </c>
      <c r="AC54" s="84" t="str">
        <f t="shared" si="53"/>
        <v/>
      </c>
      <c r="AD54" s="84" t="str">
        <f t="shared" si="54"/>
        <v/>
      </c>
      <c r="AE54" s="84">
        <f t="shared" si="55"/>
        <v>140.99946</v>
      </c>
      <c r="AF54" s="84" t="str">
        <f t="shared" si="56"/>
        <v/>
      </c>
      <c r="AG54" s="84" t="str">
        <f t="shared" si="57"/>
        <v/>
      </c>
      <c r="AH54" s="84" t="str">
        <f t="shared" si="58"/>
        <v/>
      </c>
      <c r="AI54" s="84" t="str">
        <f t="shared" si="59"/>
        <v/>
      </c>
      <c r="AJ54" s="84" t="str">
        <f t="shared" si="60"/>
        <v/>
      </c>
      <c r="AK54" s="84" t="str">
        <f t="shared" si="61"/>
        <v/>
      </c>
      <c r="AL54" s="84" t="str">
        <f t="shared" si="62"/>
        <v/>
      </c>
      <c r="AM54" s="84" t="str">
        <f t="shared" si="63"/>
        <v/>
      </c>
      <c r="AN54" s="84" t="str">
        <f t="shared" si="64"/>
        <v/>
      </c>
      <c r="AO54" s="84" t="str">
        <f t="shared" si="65"/>
        <v/>
      </c>
      <c r="AP54" s="84" t="str">
        <f t="shared" si="66"/>
        <v/>
      </c>
      <c r="AQ54" s="84" t="str">
        <f t="shared" si="67"/>
        <v/>
      </c>
      <c r="AR54" s="84" t="str">
        <f t="shared" si="68"/>
        <v/>
      </c>
      <c r="AS54" s="84" t="str">
        <f t="shared" si="69"/>
        <v/>
      </c>
      <c r="AT54" s="84" t="str">
        <f t="shared" si="70"/>
        <v/>
      </c>
      <c r="AU54" s="84" t="str">
        <f t="shared" si="71"/>
        <v/>
      </c>
    </row>
    <row r="55" spans="1:47" ht="19" customHeight="1" x14ac:dyDescent="0.3">
      <c r="A55" s="57" t="s">
        <v>109</v>
      </c>
      <c r="B55" s="57"/>
      <c r="C55" s="57"/>
      <c r="D55" s="89">
        <f>持有情况!AK76-ROW()*0.00001</f>
        <v>171.99945</v>
      </c>
      <c r="E55" s="89">
        <v>2</v>
      </c>
      <c r="F55" s="90">
        <v>0</v>
      </c>
      <c r="G55" s="89">
        <v>1</v>
      </c>
      <c r="H55" s="90">
        <v>0</v>
      </c>
      <c r="I55" s="1"/>
      <c r="J55" s="89">
        <f>INT(45+10*路线!B31+8*路线!B35+17+30)-ROW()*0.00001</f>
        <v>171.99945</v>
      </c>
      <c r="K55" s="1"/>
      <c r="L55" s="84" t="str">
        <f t="shared" si="36"/>
        <v/>
      </c>
      <c r="M55" s="84">
        <f t="shared" si="37"/>
        <v>171.99945</v>
      </c>
      <c r="N55" s="84" t="str">
        <f t="shared" si="38"/>
        <v/>
      </c>
      <c r="O55" s="84" t="str">
        <f t="shared" si="39"/>
        <v/>
      </c>
      <c r="P55" s="84" t="str">
        <f t="shared" si="40"/>
        <v/>
      </c>
      <c r="Q55" s="84" t="str">
        <f t="shared" si="41"/>
        <v/>
      </c>
      <c r="R55" s="84" t="str">
        <f t="shared" si="42"/>
        <v/>
      </c>
      <c r="S55" s="84" t="str">
        <f t="shared" si="43"/>
        <v/>
      </c>
      <c r="T55" s="84" t="str">
        <f t="shared" si="44"/>
        <v/>
      </c>
      <c r="U55" s="84" t="str">
        <f t="shared" si="45"/>
        <v/>
      </c>
      <c r="V55" s="84" t="str">
        <f t="shared" si="46"/>
        <v/>
      </c>
      <c r="W55" s="84" t="str">
        <f t="shared" si="47"/>
        <v/>
      </c>
      <c r="X55" s="84" t="str">
        <f t="shared" si="48"/>
        <v/>
      </c>
      <c r="Y55" s="84" t="str">
        <f t="shared" si="49"/>
        <v/>
      </c>
      <c r="Z55" s="84" t="str">
        <f t="shared" si="50"/>
        <v/>
      </c>
      <c r="AA55" s="84" t="str">
        <f t="shared" si="51"/>
        <v/>
      </c>
      <c r="AB55" s="84" t="str">
        <f t="shared" si="52"/>
        <v/>
      </c>
      <c r="AC55" s="84" t="str">
        <f t="shared" si="53"/>
        <v/>
      </c>
      <c r="AD55" s="84" t="str">
        <f t="shared" si="54"/>
        <v/>
      </c>
      <c r="AE55" s="84" t="str">
        <f t="shared" si="55"/>
        <v/>
      </c>
      <c r="AF55" s="84" t="str">
        <f t="shared" si="56"/>
        <v/>
      </c>
      <c r="AG55" s="84" t="str">
        <f t="shared" si="57"/>
        <v/>
      </c>
      <c r="AH55" s="84" t="str">
        <f t="shared" si="58"/>
        <v/>
      </c>
      <c r="AI55" s="84" t="str">
        <f t="shared" si="59"/>
        <v/>
      </c>
      <c r="AJ55" s="84">
        <f t="shared" si="60"/>
        <v>171.99945</v>
      </c>
      <c r="AK55" s="84" t="str">
        <f t="shared" si="61"/>
        <v/>
      </c>
      <c r="AL55" s="84" t="str">
        <f t="shared" si="62"/>
        <v/>
      </c>
      <c r="AM55" s="84" t="str">
        <f t="shared" si="63"/>
        <v/>
      </c>
      <c r="AN55" s="84" t="str">
        <f t="shared" si="64"/>
        <v/>
      </c>
      <c r="AO55" s="84" t="str">
        <f t="shared" si="65"/>
        <v/>
      </c>
      <c r="AP55" s="84" t="str">
        <f t="shared" si="66"/>
        <v/>
      </c>
      <c r="AQ55" s="84" t="str">
        <f t="shared" si="67"/>
        <v/>
      </c>
      <c r="AR55" s="84" t="str">
        <f t="shared" si="68"/>
        <v/>
      </c>
      <c r="AS55" s="84" t="str">
        <f t="shared" si="69"/>
        <v/>
      </c>
      <c r="AT55" s="84" t="str">
        <f t="shared" si="70"/>
        <v/>
      </c>
      <c r="AU55" s="84" t="str">
        <f t="shared" si="71"/>
        <v/>
      </c>
    </row>
    <row r="56" spans="1:47" ht="19" customHeight="1" x14ac:dyDescent="0.3">
      <c r="A56" s="67" t="s">
        <v>111</v>
      </c>
      <c r="B56" s="67"/>
      <c r="C56" s="67"/>
      <c r="D56" s="89">
        <f>持有情况!BE76-ROW()*0.00001</f>
        <v>186.99943999999999</v>
      </c>
      <c r="E56" s="89">
        <v>3</v>
      </c>
      <c r="F56" s="90">
        <v>0</v>
      </c>
      <c r="G56" s="89">
        <v>3</v>
      </c>
      <c r="H56" s="89">
        <v>1</v>
      </c>
      <c r="I56" s="84" t="s">
        <v>314</v>
      </c>
      <c r="J56" s="89">
        <f>IF(路线!C6="计算",INT(45+3*(路线!B28+路线!B29)+8*路线!B35+10*路线!B31+30+20)-ROW()*0.00001,INT(45+3*(路线!B28+路线!B29)+8*路线!B35+10*路线!B31+30)-ROW()*0.00001)</f>
        <v>186.99943999999999</v>
      </c>
      <c r="K56" s="1"/>
      <c r="L56" s="84" t="str">
        <f t="shared" si="36"/>
        <v/>
      </c>
      <c r="M56" s="84" t="str">
        <f t="shared" si="37"/>
        <v/>
      </c>
      <c r="N56" s="84" t="str">
        <f t="shared" si="38"/>
        <v/>
      </c>
      <c r="O56" s="84" t="str">
        <f t="shared" si="39"/>
        <v/>
      </c>
      <c r="P56" s="84" t="str">
        <f t="shared" si="40"/>
        <v/>
      </c>
      <c r="Q56" s="84" t="str">
        <f t="shared" si="41"/>
        <v/>
      </c>
      <c r="R56" s="84" t="str">
        <f t="shared" si="42"/>
        <v/>
      </c>
      <c r="S56" s="84" t="str">
        <f t="shared" si="43"/>
        <v/>
      </c>
      <c r="T56" s="84">
        <f t="shared" si="44"/>
        <v>186.99943999999999</v>
      </c>
      <c r="U56" s="84" t="str">
        <f t="shared" si="45"/>
        <v/>
      </c>
      <c r="V56" s="84" t="str">
        <f t="shared" si="46"/>
        <v/>
      </c>
      <c r="W56" s="84" t="str">
        <f t="shared" si="47"/>
        <v/>
      </c>
      <c r="X56" s="84" t="str">
        <f t="shared" si="48"/>
        <v/>
      </c>
      <c r="Y56" s="84" t="str">
        <f t="shared" si="49"/>
        <v/>
      </c>
      <c r="Z56" s="84" t="str">
        <f t="shared" si="50"/>
        <v/>
      </c>
      <c r="AA56" s="84" t="str">
        <f t="shared" si="51"/>
        <v/>
      </c>
      <c r="AB56" s="84" t="str">
        <f t="shared" si="52"/>
        <v/>
      </c>
      <c r="AC56" s="84" t="str">
        <f t="shared" si="53"/>
        <v/>
      </c>
      <c r="AD56" s="84" t="str">
        <f t="shared" si="54"/>
        <v/>
      </c>
      <c r="AE56" s="84" t="str">
        <f t="shared" si="55"/>
        <v/>
      </c>
      <c r="AF56" s="84" t="str">
        <f t="shared" si="56"/>
        <v/>
      </c>
      <c r="AG56" s="84" t="str">
        <f t="shared" si="57"/>
        <v/>
      </c>
      <c r="AH56" s="84" t="str">
        <f t="shared" si="58"/>
        <v/>
      </c>
      <c r="AI56" s="84" t="str">
        <f t="shared" si="59"/>
        <v/>
      </c>
      <c r="AJ56" s="84" t="str">
        <f t="shared" si="60"/>
        <v/>
      </c>
      <c r="AK56" s="84" t="str">
        <f t="shared" si="61"/>
        <v/>
      </c>
      <c r="AL56" s="84" t="str">
        <f t="shared" si="62"/>
        <v/>
      </c>
      <c r="AM56" s="84" t="str">
        <f t="shared" si="63"/>
        <v/>
      </c>
      <c r="AN56" s="84" t="str">
        <f t="shared" si="64"/>
        <v/>
      </c>
      <c r="AO56" s="84" t="str">
        <f t="shared" si="65"/>
        <v/>
      </c>
      <c r="AP56" s="84" t="str">
        <f t="shared" si="66"/>
        <v/>
      </c>
      <c r="AQ56" s="84" t="str">
        <f t="shared" si="67"/>
        <v/>
      </c>
      <c r="AR56" s="84">
        <f t="shared" si="68"/>
        <v>186.99943999999999</v>
      </c>
      <c r="AS56" s="84" t="str">
        <f t="shared" si="69"/>
        <v/>
      </c>
      <c r="AT56" s="84" t="str">
        <f t="shared" si="70"/>
        <v/>
      </c>
      <c r="AU56" s="84" t="str">
        <f t="shared" si="71"/>
        <v/>
      </c>
    </row>
    <row r="57" spans="1:47" ht="19" customHeight="1" x14ac:dyDescent="0.3">
      <c r="A57" s="57" t="s">
        <v>88</v>
      </c>
      <c r="B57" s="57"/>
      <c r="C57" s="57"/>
      <c r="D57" s="89">
        <f>持有情况!AK58-ROW()*0.00001</f>
        <v>168.99942999999999</v>
      </c>
      <c r="E57" s="89">
        <v>1</v>
      </c>
      <c r="F57" s="89">
        <v>1</v>
      </c>
      <c r="G57" s="89">
        <v>1</v>
      </c>
      <c r="H57" s="89">
        <v>1</v>
      </c>
      <c r="I57" s="84" t="s">
        <v>315</v>
      </c>
      <c r="J57" s="89">
        <f>IF(路线!C6="计算",INT(45+5*路线!B30+13*路线!B18+30+20)-ROW()*0.00001,INT(45+5*路线!B30+13*路线!B18+30)-ROW()*0.00001)</f>
        <v>168.99942999999999</v>
      </c>
      <c r="K57" s="1"/>
      <c r="L57" s="84">
        <f t="shared" si="36"/>
        <v>168.99942999999999</v>
      </c>
      <c r="M57" s="84" t="str">
        <f t="shared" si="37"/>
        <v/>
      </c>
      <c r="N57" s="84" t="str">
        <f t="shared" si="38"/>
        <v/>
      </c>
      <c r="O57" s="84" t="str">
        <f t="shared" si="39"/>
        <v/>
      </c>
      <c r="P57" s="84" t="str">
        <f t="shared" si="40"/>
        <v/>
      </c>
      <c r="Q57" s="84" t="str">
        <f t="shared" si="41"/>
        <v/>
      </c>
      <c r="R57" s="84" t="str">
        <f t="shared" si="42"/>
        <v/>
      </c>
      <c r="S57" s="84" t="str">
        <f t="shared" si="43"/>
        <v/>
      </c>
      <c r="T57" s="84" t="str">
        <f t="shared" si="44"/>
        <v/>
      </c>
      <c r="U57" s="84">
        <f t="shared" si="45"/>
        <v>168.99942999999999</v>
      </c>
      <c r="V57" s="84" t="str">
        <f t="shared" si="46"/>
        <v/>
      </c>
      <c r="W57" s="84" t="str">
        <f t="shared" si="47"/>
        <v/>
      </c>
      <c r="X57" s="84" t="str">
        <f t="shared" si="48"/>
        <v/>
      </c>
      <c r="Y57" s="84" t="str">
        <f t="shared" si="49"/>
        <v/>
      </c>
      <c r="Z57" s="84" t="str">
        <f t="shared" si="50"/>
        <v/>
      </c>
      <c r="AA57" s="84" t="str">
        <f t="shared" si="51"/>
        <v/>
      </c>
      <c r="AB57" s="84" t="str">
        <f t="shared" si="52"/>
        <v/>
      </c>
      <c r="AC57" s="84" t="str">
        <f t="shared" si="53"/>
        <v/>
      </c>
      <c r="AD57" s="84" t="str">
        <f t="shared" si="54"/>
        <v/>
      </c>
      <c r="AE57" s="84" t="str">
        <f t="shared" si="55"/>
        <v/>
      </c>
      <c r="AF57" s="84" t="str">
        <f t="shared" si="56"/>
        <v/>
      </c>
      <c r="AG57" s="84">
        <f t="shared" si="57"/>
        <v>168.99942999999999</v>
      </c>
      <c r="AH57" s="84" t="str">
        <f t="shared" si="58"/>
        <v/>
      </c>
      <c r="AI57" s="84" t="str">
        <f t="shared" si="59"/>
        <v/>
      </c>
      <c r="AJ57" s="84" t="str">
        <f t="shared" si="60"/>
        <v/>
      </c>
      <c r="AK57" s="84" t="str">
        <f t="shared" si="61"/>
        <v/>
      </c>
      <c r="AL57" s="84" t="str">
        <f t="shared" si="62"/>
        <v/>
      </c>
      <c r="AM57" s="84" t="str">
        <f t="shared" si="63"/>
        <v/>
      </c>
      <c r="AN57" s="84" t="str">
        <f t="shared" si="64"/>
        <v/>
      </c>
      <c r="AO57" s="84" t="str">
        <f t="shared" si="65"/>
        <v/>
      </c>
      <c r="AP57" s="84" t="str">
        <f t="shared" si="66"/>
        <v/>
      </c>
      <c r="AQ57" s="84" t="str">
        <f t="shared" si="67"/>
        <v/>
      </c>
      <c r="AR57" s="84" t="str">
        <f t="shared" si="68"/>
        <v/>
      </c>
      <c r="AS57" s="84" t="str">
        <f t="shared" si="69"/>
        <v/>
      </c>
      <c r="AT57" s="84" t="str">
        <f t="shared" si="70"/>
        <v/>
      </c>
      <c r="AU57" s="84" t="str">
        <f t="shared" si="71"/>
        <v/>
      </c>
    </row>
    <row r="58" spans="1:47" ht="19" customHeight="1" x14ac:dyDescent="0.3">
      <c r="A58" s="75" t="s">
        <v>128</v>
      </c>
      <c r="B58" s="75"/>
      <c r="C58" s="75"/>
      <c r="D58" s="89">
        <f>持有情况!AU94-ROW()*0.00001</f>
        <v>192.99941999999999</v>
      </c>
      <c r="E58" s="89">
        <v>2</v>
      </c>
      <c r="F58" s="90">
        <v>0</v>
      </c>
      <c r="G58" s="89">
        <v>2</v>
      </c>
      <c r="H58" s="89">
        <v>1</v>
      </c>
      <c r="I58" s="84" t="s">
        <v>316</v>
      </c>
      <c r="J58" s="89">
        <f>IF(路线!C6="计算",INT(45+6*路线!B29+3*路线!B27+5*路线!B30+30+20)-ROW()*0.00001,INT(45+6*路线!B29+3*路线!B27+5*路线!B30+30)-ROW()*0.00001)</f>
        <v>192.99941999999999</v>
      </c>
      <c r="K58" s="1"/>
      <c r="L58" s="84" t="str">
        <f t="shared" si="36"/>
        <v/>
      </c>
      <c r="M58" s="84" t="str">
        <f t="shared" si="37"/>
        <v/>
      </c>
      <c r="N58" s="84" t="str">
        <f t="shared" si="38"/>
        <v/>
      </c>
      <c r="O58" s="84" t="str">
        <f t="shared" si="39"/>
        <v/>
      </c>
      <c r="P58" s="84">
        <f t="shared" si="40"/>
        <v>192.99941999999999</v>
      </c>
      <c r="Q58" s="84" t="str">
        <f t="shared" si="41"/>
        <v/>
      </c>
      <c r="R58" s="84" t="str">
        <f t="shared" si="42"/>
        <v/>
      </c>
      <c r="S58" s="84" t="str">
        <f t="shared" si="43"/>
        <v/>
      </c>
      <c r="T58" s="84" t="str">
        <f t="shared" si="44"/>
        <v/>
      </c>
      <c r="U58" s="84" t="str">
        <f t="shared" si="45"/>
        <v/>
      </c>
      <c r="V58" s="84" t="str">
        <f t="shared" si="46"/>
        <v/>
      </c>
      <c r="W58" s="84" t="str">
        <f t="shared" si="47"/>
        <v/>
      </c>
      <c r="X58" s="84" t="str">
        <f t="shared" si="48"/>
        <v/>
      </c>
      <c r="Y58" s="84" t="str">
        <f t="shared" si="49"/>
        <v/>
      </c>
      <c r="Z58" s="84" t="str">
        <f t="shared" si="50"/>
        <v/>
      </c>
      <c r="AA58" s="84" t="str">
        <f t="shared" si="51"/>
        <v/>
      </c>
      <c r="AB58" s="84" t="str">
        <f t="shared" si="52"/>
        <v/>
      </c>
      <c r="AC58" s="84" t="str">
        <f t="shared" si="53"/>
        <v/>
      </c>
      <c r="AD58" s="84" t="str">
        <f t="shared" si="54"/>
        <v/>
      </c>
      <c r="AE58" s="84" t="str">
        <f t="shared" si="55"/>
        <v/>
      </c>
      <c r="AF58" s="84" t="str">
        <f t="shared" si="56"/>
        <v/>
      </c>
      <c r="AG58" s="84" t="str">
        <f t="shared" si="57"/>
        <v/>
      </c>
      <c r="AH58" s="84" t="str">
        <f t="shared" si="58"/>
        <v/>
      </c>
      <c r="AI58" s="84" t="str">
        <f t="shared" si="59"/>
        <v/>
      </c>
      <c r="AJ58" s="84" t="str">
        <f t="shared" si="60"/>
        <v/>
      </c>
      <c r="AK58" s="84">
        <f t="shared" si="61"/>
        <v>192.99941999999999</v>
      </c>
      <c r="AL58" s="84" t="str">
        <f t="shared" si="62"/>
        <v/>
      </c>
      <c r="AM58" s="84" t="str">
        <f t="shared" si="63"/>
        <v/>
      </c>
      <c r="AN58" s="84" t="str">
        <f t="shared" si="64"/>
        <v/>
      </c>
      <c r="AO58" s="84" t="str">
        <f t="shared" si="65"/>
        <v/>
      </c>
      <c r="AP58" s="84" t="str">
        <f t="shared" si="66"/>
        <v/>
      </c>
      <c r="AQ58" s="84" t="str">
        <f t="shared" si="67"/>
        <v/>
      </c>
      <c r="AR58" s="84" t="str">
        <f t="shared" si="68"/>
        <v/>
      </c>
      <c r="AS58" s="84" t="str">
        <f t="shared" si="69"/>
        <v/>
      </c>
      <c r="AT58" s="84" t="str">
        <f t="shared" si="70"/>
        <v/>
      </c>
      <c r="AU58" s="84" t="str">
        <f t="shared" si="71"/>
        <v/>
      </c>
    </row>
    <row r="59" spans="1:47" ht="19" customHeight="1" x14ac:dyDescent="0.3">
      <c r="A59" s="75" t="s">
        <v>82</v>
      </c>
      <c r="B59" s="75"/>
      <c r="C59" s="75"/>
      <c r="D59" s="89">
        <f>持有情况!AU52-ROW()*0.00001</f>
        <v>224.99941000000001</v>
      </c>
      <c r="E59" s="89">
        <v>2</v>
      </c>
      <c r="F59" s="90">
        <v>0</v>
      </c>
      <c r="G59" s="89">
        <v>2</v>
      </c>
      <c r="H59" s="89">
        <v>1</v>
      </c>
      <c r="I59" s="84" t="s">
        <v>317</v>
      </c>
      <c r="J59" s="89">
        <f>INT((6.4/100)*路线!B12+8*路线!B35+11*路线!B34+13*路线!B18+30)-ROW()*0.00001</f>
        <v>224.99941000000001</v>
      </c>
      <c r="K59" s="1"/>
      <c r="L59" s="84" t="str">
        <f t="shared" si="36"/>
        <v/>
      </c>
      <c r="M59" s="84" t="str">
        <f t="shared" si="37"/>
        <v/>
      </c>
      <c r="N59" s="84" t="str">
        <f t="shared" si="38"/>
        <v/>
      </c>
      <c r="O59" s="84" t="str">
        <f t="shared" si="39"/>
        <v/>
      </c>
      <c r="P59" s="84">
        <f t="shared" si="40"/>
        <v>224.99941000000001</v>
      </c>
      <c r="Q59" s="84" t="str">
        <f t="shared" si="41"/>
        <v/>
      </c>
      <c r="R59" s="84" t="str">
        <f t="shared" si="42"/>
        <v/>
      </c>
      <c r="S59" s="84" t="str">
        <f t="shared" si="43"/>
        <v/>
      </c>
      <c r="T59" s="84" t="str">
        <f t="shared" si="44"/>
        <v/>
      </c>
      <c r="U59" s="84" t="str">
        <f t="shared" si="45"/>
        <v/>
      </c>
      <c r="V59" s="84" t="str">
        <f t="shared" si="46"/>
        <v/>
      </c>
      <c r="W59" s="84" t="str">
        <f t="shared" si="47"/>
        <v/>
      </c>
      <c r="X59" s="84" t="str">
        <f t="shared" si="48"/>
        <v/>
      </c>
      <c r="Y59" s="84" t="str">
        <f t="shared" si="49"/>
        <v/>
      </c>
      <c r="Z59" s="84" t="str">
        <f t="shared" si="50"/>
        <v/>
      </c>
      <c r="AA59" s="84" t="str">
        <f t="shared" si="51"/>
        <v/>
      </c>
      <c r="AB59" s="84" t="str">
        <f t="shared" si="52"/>
        <v/>
      </c>
      <c r="AC59" s="84" t="str">
        <f t="shared" si="53"/>
        <v/>
      </c>
      <c r="AD59" s="84" t="str">
        <f t="shared" si="54"/>
        <v/>
      </c>
      <c r="AE59" s="84" t="str">
        <f t="shared" si="55"/>
        <v/>
      </c>
      <c r="AF59" s="84" t="str">
        <f t="shared" si="56"/>
        <v/>
      </c>
      <c r="AG59" s="84" t="str">
        <f t="shared" si="57"/>
        <v/>
      </c>
      <c r="AH59" s="84" t="str">
        <f t="shared" si="58"/>
        <v/>
      </c>
      <c r="AI59" s="84" t="str">
        <f t="shared" si="59"/>
        <v/>
      </c>
      <c r="AJ59" s="84" t="str">
        <f t="shared" si="60"/>
        <v/>
      </c>
      <c r="AK59" s="84">
        <f t="shared" si="61"/>
        <v>224.99941000000001</v>
      </c>
      <c r="AL59" s="84" t="str">
        <f t="shared" si="62"/>
        <v/>
      </c>
      <c r="AM59" s="84" t="str">
        <f t="shared" si="63"/>
        <v/>
      </c>
      <c r="AN59" s="84" t="str">
        <f t="shared" si="64"/>
        <v/>
      </c>
      <c r="AO59" s="84" t="str">
        <f t="shared" si="65"/>
        <v/>
      </c>
      <c r="AP59" s="84" t="str">
        <f t="shared" si="66"/>
        <v/>
      </c>
      <c r="AQ59" s="84" t="str">
        <f t="shared" si="67"/>
        <v/>
      </c>
      <c r="AR59" s="84" t="str">
        <f t="shared" si="68"/>
        <v/>
      </c>
      <c r="AS59" s="84" t="str">
        <f t="shared" si="69"/>
        <v/>
      </c>
      <c r="AT59" s="84" t="str">
        <f t="shared" si="70"/>
        <v/>
      </c>
      <c r="AU59" s="84" t="str">
        <f t="shared" si="71"/>
        <v/>
      </c>
    </row>
    <row r="60" spans="1:47" ht="19" customHeight="1" x14ac:dyDescent="0.3">
      <c r="A60" s="57" t="s">
        <v>41</v>
      </c>
      <c r="B60" s="57"/>
      <c r="C60" s="57"/>
      <c r="D60" s="89">
        <f>持有情况!G22-ROW()*0.00001</f>
        <v>150.99940000000001</v>
      </c>
      <c r="E60" s="90">
        <v>0</v>
      </c>
      <c r="F60" s="90">
        <v>0</v>
      </c>
      <c r="G60" s="89">
        <v>1</v>
      </c>
      <c r="H60" s="89">
        <v>1</v>
      </c>
      <c r="I60" s="84" t="s">
        <v>318</v>
      </c>
      <c r="J60" s="89">
        <f>IF(路线!C6="计算",INT((8.5/100)*路线!B12+6*路线!B17+4*(路线!B28+路线!B29)+40+20)-ROW()*0.00001,INT((8.5/100)*路线!B12+6*路线!B17+4*(路线!B28+路线!B29)+40)-ROW()*0.00001)</f>
        <v>150.99940000000001</v>
      </c>
      <c r="K60" s="1"/>
      <c r="L60" s="84">
        <f t="shared" si="36"/>
        <v>150.99940000000001</v>
      </c>
      <c r="M60" s="84">
        <f t="shared" si="37"/>
        <v>150.99940000000001</v>
      </c>
      <c r="N60" s="84">
        <f t="shared" si="38"/>
        <v>150.99940000000001</v>
      </c>
      <c r="O60" s="84" t="str">
        <f t="shared" si="39"/>
        <v/>
      </c>
      <c r="P60" s="84" t="str">
        <f t="shared" si="40"/>
        <v/>
      </c>
      <c r="Q60" s="84" t="str">
        <f t="shared" si="41"/>
        <v/>
      </c>
      <c r="R60" s="84" t="str">
        <f t="shared" si="42"/>
        <v/>
      </c>
      <c r="S60" s="84" t="str">
        <f t="shared" si="43"/>
        <v/>
      </c>
      <c r="T60" s="84" t="str">
        <f t="shared" si="44"/>
        <v/>
      </c>
      <c r="U60" s="84" t="str">
        <f t="shared" si="45"/>
        <v/>
      </c>
      <c r="V60" s="84" t="str">
        <f t="shared" si="46"/>
        <v/>
      </c>
      <c r="W60" s="84" t="str">
        <f t="shared" si="47"/>
        <v/>
      </c>
      <c r="X60" s="84" t="str">
        <f t="shared" si="48"/>
        <v/>
      </c>
      <c r="Y60" s="84" t="str">
        <f t="shared" si="49"/>
        <v/>
      </c>
      <c r="Z60" s="84" t="str">
        <f t="shared" si="50"/>
        <v/>
      </c>
      <c r="AA60" s="84" t="str">
        <f t="shared" si="51"/>
        <v/>
      </c>
      <c r="AB60" s="84" t="str">
        <f t="shared" si="52"/>
        <v/>
      </c>
      <c r="AC60" s="84" t="str">
        <f t="shared" si="53"/>
        <v/>
      </c>
      <c r="AD60" s="84">
        <f t="shared" si="54"/>
        <v>150.99940000000001</v>
      </c>
      <c r="AE60" s="84" t="str">
        <f t="shared" si="55"/>
        <v/>
      </c>
      <c r="AF60" s="84" t="str">
        <f t="shared" si="56"/>
        <v/>
      </c>
      <c r="AG60" s="84" t="str">
        <f t="shared" si="57"/>
        <v/>
      </c>
      <c r="AH60" s="84" t="str">
        <f t="shared" si="58"/>
        <v/>
      </c>
      <c r="AI60" s="84" t="str">
        <f t="shared" si="59"/>
        <v/>
      </c>
      <c r="AJ60" s="84">
        <f t="shared" si="60"/>
        <v>150.99940000000001</v>
      </c>
      <c r="AK60" s="84" t="str">
        <f t="shared" si="61"/>
        <v/>
      </c>
      <c r="AL60" s="84" t="str">
        <f t="shared" si="62"/>
        <v/>
      </c>
      <c r="AM60" s="84" t="str">
        <f t="shared" si="63"/>
        <v/>
      </c>
      <c r="AN60" s="84" t="str">
        <f t="shared" si="64"/>
        <v/>
      </c>
      <c r="AO60" s="84" t="str">
        <f t="shared" si="65"/>
        <v/>
      </c>
      <c r="AP60" s="84">
        <f t="shared" si="66"/>
        <v>150.99940000000001</v>
      </c>
      <c r="AQ60" s="84" t="str">
        <f t="shared" si="67"/>
        <v/>
      </c>
      <c r="AR60" s="84" t="str">
        <f t="shared" si="68"/>
        <v/>
      </c>
      <c r="AS60" s="84" t="str">
        <f t="shared" si="69"/>
        <v/>
      </c>
      <c r="AT60" s="84" t="str">
        <f t="shared" si="70"/>
        <v/>
      </c>
      <c r="AU60" s="84" t="str">
        <f t="shared" si="71"/>
        <v/>
      </c>
    </row>
    <row r="61" spans="1:47" ht="19" customHeight="1" x14ac:dyDescent="0.3">
      <c r="A61" s="57" t="s">
        <v>51</v>
      </c>
      <c r="B61" s="57"/>
      <c r="C61" s="57"/>
      <c r="D61" s="89">
        <f>持有情况!AK28-ROW()*0.00001</f>
        <v>128.99939000000001</v>
      </c>
      <c r="E61" s="90">
        <v>0</v>
      </c>
      <c r="F61" s="89">
        <v>1</v>
      </c>
      <c r="G61" s="89">
        <v>1</v>
      </c>
      <c r="H61" s="90">
        <v>0</v>
      </c>
      <c r="I61" s="1"/>
      <c r="J61" s="89">
        <f>INT((6.4/100)*路线!B12+17+13*路线!B18+30)-ROW()*0.00001</f>
        <v>128.99939000000001</v>
      </c>
      <c r="K61" s="1"/>
      <c r="L61" s="84">
        <f t="shared" si="36"/>
        <v>128.99939000000001</v>
      </c>
      <c r="M61" s="84">
        <f t="shared" si="37"/>
        <v>128.99939000000001</v>
      </c>
      <c r="N61" s="84">
        <f t="shared" si="38"/>
        <v>128.99939000000001</v>
      </c>
      <c r="O61" s="84" t="str">
        <f t="shared" si="39"/>
        <v/>
      </c>
      <c r="P61" s="84" t="str">
        <f t="shared" si="40"/>
        <v/>
      </c>
      <c r="Q61" s="84" t="str">
        <f t="shared" si="41"/>
        <v/>
      </c>
      <c r="R61" s="84" t="str">
        <f t="shared" si="42"/>
        <v/>
      </c>
      <c r="S61" s="84" t="str">
        <f t="shared" si="43"/>
        <v/>
      </c>
      <c r="T61" s="84" t="str">
        <f t="shared" si="44"/>
        <v/>
      </c>
      <c r="U61" s="84">
        <f t="shared" si="45"/>
        <v>128.99939000000001</v>
      </c>
      <c r="V61" s="84" t="str">
        <f t="shared" si="46"/>
        <v/>
      </c>
      <c r="W61" s="84" t="str">
        <f t="shared" si="47"/>
        <v/>
      </c>
      <c r="X61" s="84">
        <f t="shared" si="48"/>
        <v>128.99939000000001</v>
      </c>
      <c r="Y61" s="84" t="str">
        <f t="shared" si="49"/>
        <v/>
      </c>
      <c r="Z61" s="84" t="str">
        <f t="shared" si="50"/>
        <v/>
      </c>
      <c r="AA61" s="84">
        <f t="shared" si="51"/>
        <v>128.99939000000001</v>
      </c>
      <c r="AB61" s="84" t="str">
        <f t="shared" si="52"/>
        <v/>
      </c>
      <c r="AC61" s="84" t="str">
        <f t="shared" si="53"/>
        <v/>
      </c>
      <c r="AD61" s="84" t="str">
        <f t="shared" si="54"/>
        <v/>
      </c>
      <c r="AE61" s="84" t="str">
        <f t="shared" si="55"/>
        <v/>
      </c>
      <c r="AF61" s="84" t="str">
        <f t="shared" si="56"/>
        <v/>
      </c>
      <c r="AG61" s="84">
        <f t="shared" si="57"/>
        <v>128.99939000000001</v>
      </c>
      <c r="AH61" s="84" t="str">
        <f t="shared" si="58"/>
        <v/>
      </c>
      <c r="AI61" s="84" t="str">
        <f t="shared" si="59"/>
        <v/>
      </c>
      <c r="AJ61" s="84" t="str">
        <f t="shared" si="60"/>
        <v/>
      </c>
      <c r="AK61" s="84" t="str">
        <f t="shared" si="61"/>
        <v/>
      </c>
      <c r="AL61" s="84" t="str">
        <f t="shared" si="62"/>
        <v/>
      </c>
      <c r="AM61" s="84">
        <f t="shared" si="63"/>
        <v>128.99939000000001</v>
      </c>
      <c r="AN61" s="84" t="str">
        <f t="shared" si="64"/>
        <v/>
      </c>
      <c r="AO61" s="84" t="str">
        <f t="shared" si="65"/>
        <v/>
      </c>
      <c r="AP61" s="84" t="str">
        <f t="shared" si="66"/>
        <v/>
      </c>
      <c r="AQ61" s="84" t="str">
        <f t="shared" si="67"/>
        <v/>
      </c>
      <c r="AR61" s="84" t="str">
        <f t="shared" si="68"/>
        <v/>
      </c>
      <c r="AS61" s="84">
        <f t="shared" si="69"/>
        <v>128.99939000000001</v>
      </c>
      <c r="AT61" s="84" t="str">
        <f t="shared" si="70"/>
        <v/>
      </c>
      <c r="AU61" s="84" t="str">
        <f t="shared" si="71"/>
        <v/>
      </c>
    </row>
    <row r="62" spans="1:47" ht="19" customHeight="1" x14ac:dyDescent="0.3">
      <c r="A62" s="75" t="s">
        <v>34</v>
      </c>
      <c r="B62" s="75"/>
      <c r="C62" s="75"/>
      <c r="D62" s="89">
        <f>持有情况!AU16-ROW()*0.00001</f>
        <v>128.99938</v>
      </c>
      <c r="E62" s="90">
        <v>0</v>
      </c>
      <c r="F62" s="89">
        <v>1</v>
      </c>
      <c r="G62" s="89">
        <v>2</v>
      </c>
      <c r="H62" s="90">
        <v>0</v>
      </c>
      <c r="I62" s="1"/>
      <c r="J62" s="89">
        <f>INT((6.4/100)*路线!B12+17+13*路线!B18+30)-ROW()*0.00001</f>
        <v>128.99938</v>
      </c>
      <c r="K62" s="1"/>
      <c r="L62" s="84" t="str">
        <f t="shared" si="36"/>
        <v/>
      </c>
      <c r="M62" s="84" t="str">
        <f t="shared" si="37"/>
        <v/>
      </c>
      <c r="N62" s="84" t="str">
        <f t="shared" si="38"/>
        <v/>
      </c>
      <c r="O62" s="84">
        <f t="shared" si="39"/>
        <v>128.99938</v>
      </c>
      <c r="P62" s="84">
        <f t="shared" si="40"/>
        <v>128.99938</v>
      </c>
      <c r="Q62" s="84">
        <f t="shared" si="41"/>
        <v>128.99938</v>
      </c>
      <c r="R62" s="84" t="str">
        <f t="shared" si="42"/>
        <v/>
      </c>
      <c r="S62" s="84" t="str">
        <f t="shared" si="43"/>
        <v/>
      </c>
      <c r="T62" s="84" t="str">
        <f t="shared" si="44"/>
        <v/>
      </c>
      <c r="U62" s="84" t="str">
        <f t="shared" si="45"/>
        <v/>
      </c>
      <c r="V62" s="84">
        <f t="shared" si="46"/>
        <v>128.99938</v>
      </c>
      <c r="W62" s="84" t="str">
        <f t="shared" si="47"/>
        <v/>
      </c>
      <c r="X62" s="84" t="str">
        <f t="shared" si="48"/>
        <v/>
      </c>
      <c r="Y62" s="84">
        <f t="shared" si="49"/>
        <v>128.99938</v>
      </c>
      <c r="Z62" s="84" t="str">
        <f t="shared" si="50"/>
        <v/>
      </c>
      <c r="AA62" s="84" t="str">
        <f t="shared" si="51"/>
        <v/>
      </c>
      <c r="AB62" s="84">
        <f t="shared" si="52"/>
        <v>128.99938</v>
      </c>
      <c r="AC62" s="84" t="str">
        <f t="shared" si="53"/>
        <v/>
      </c>
      <c r="AD62" s="84" t="str">
        <f t="shared" si="54"/>
        <v/>
      </c>
      <c r="AE62" s="84" t="str">
        <f t="shared" si="55"/>
        <v/>
      </c>
      <c r="AF62" s="84" t="str">
        <f t="shared" si="56"/>
        <v/>
      </c>
      <c r="AG62" s="84" t="str">
        <f t="shared" si="57"/>
        <v/>
      </c>
      <c r="AH62" s="84">
        <f t="shared" si="58"/>
        <v>128.99938</v>
      </c>
      <c r="AI62" s="84" t="str">
        <f t="shared" si="59"/>
        <v/>
      </c>
      <c r="AJ62" s="84" t="str">
        <f t="shared" si="60"/>
        <v/>
      </c>
      <c r="AK62" s="84" t="str">
        <f t="shared" si="61"/>
        <v/>
      </c>
      <c r="AL62" s="84" t="str">
        <f t="shared" si="62"/>
        <v/>
      </c>
      <c r="AM62" s="84" t="str">
        <f t="shared" si="63"/>
        <v/>
      </c>
      <c r="AN62" s="84">
        <f t="shared" si="64"/>
        <v>128.99938</v>
      </c>
      <c r="AO62" s="84" t="str">
        <f t="shared" si="65"/>
        <v/>
      </c>
      <c r="AP62" s="84" t="str">
        <f t="shared" si="66"/>
        <v/>
      </c>
      <c r="AQ62" s="84" t="str">
        <f t="shared" si="67"/>
        <v/>
      </c>
      <c r="AR62" s="84" t="str">
        <f t="shared" si="68"/>
        <v/>
      </c>
      <c r="AS62" s="84" t="str">
        <f t="shared" si="69"/>
        <v/>
      </c>
      <c r="AT62" s="84">
        <f t="shared" si="70"/>
        <v>128.99938</v>
      </c>
      <c r="AU62" s="84" t="str">
        <f t="shared" si="71"/>
        <v/>
      </c>
    </row>
    <row r="63" spans="1:47" ht="19" customHeight="1" x14ac:dyDescent="0.3">
      <c r="A63" s="67" t="s">
        <v>53</v>
      </c>
      <c r="B63" s="67"/>
      <c r="C63" s="67"/>
      <c r="D63" s="89">
        <f>持有情况!BE28-ROW()*0.00001</f>
        <v>148.99937</v>
      </c>
      <c r="E63" s="90">
        <v>0</v>
      </c>
      <c r="F63" s="89">
        <v>1</v>
      </c>
      <c r="G63" s="89">
        <v>3</v>
      </c>
      <c r="H63" s="89">
        <v>1</v>
      </c>
      <c r="I63" s="84" t="s">
        <v>319</v>
      </c>
      <c r="J63" s="89">
        <f>IF(路线!C6="计算",INT((6.4/100)*路线!B12+17+13*路线!B18+30+20)-ROW()*0.00001,INT((6.4/100)*路线!B12+17+13*路线!B18+30)-ROW()*0.00001)</f>
        <v>148.99937</v>
      </c>
      <c r="K63" s="1"/>
      <c r="L63" s="84" t="str">
        <f t="shared" si="36"/>
        <v/>
      </c>
      <c r="M63" s="84" t="str">
        <f t="shared" si="37"/>
        <v/>
      </c>
      <c r="N63" s="84" t="str">
        <f t="shared" si="38"/>
        <v/>
      </c>
      <c r="O63" s="84" t="str">
        <f t="shared" si="39"/>
        <v/>
      </c>
      <c r="P63" s="84" t="str">
        <f t="shared" si="40"/>
        <v/>
      </c>
      <c r="Q63" s="84" t="str">
        <f t="shared" si="41"/>
        <v/>
      </c>
      <c r="R63" s="84">
        <f t="shared" si="42"/>
        <v>148.99937</v>
      </c>
      <c r="S63" s="84">
        <f t="shared" si="43"/>
        <v>148.99937</v>
      </c>
      <c r="T63" s="84">
        <f t="shared" si="44"/>
        <v>148.99937</v>
      </c>
      <c r="U63" s="84" t="str">
        <f t="shared" si="45"/>
        <v/>
      </c>
      <c r="V63" s="84" t="str">
        <f t="shared" si="46"/>
        <v/>
      </c>
      <c r="W63" s="84">
        <f t="shared" si="47"/>
        <v>148.99937</v>
      </c>
      <c r="X63" s="84" t="str">
        <f t="shared" si="48"/>
        <v/>
      </c>
      <c r="Y63" s="84" t="str">
        <f t="shared" si="49"/>
        <v/>
      </c>
      <c r="Z63" s="84">
        <f t="shared" si="50"/>
        <v>148.99937</v>
      </c>
      <c r="AA63" s="84" t="str">
        <f t="shared" si="51"/>
        <v/>
      </c>
      <c r="AB63" s="84" t="str">
        <f t="shared" si="52"/>
        <v/>
      </c>
      <c r="AC63" s="84">
        <f t="shared" si="53"/>
        <v>148.99937</v>
      </c>
      <c r="AD63" s="84" t="str">
        <f t="shared" si="54"/>
        <v/>
      </c>
      <c r="AE63" s="84" t="str">
        <f t="shared" si="55"/>
        <v/>
      </c>
      <c r="AF63" s="84" t="str">
        <f t="shared" si="56"/>
        <v/>
      </c>
      <c r="AG63" s="84" t="str">
        <f t="shared" si="57"/>
        <v/>
      </c>
      <c r="AH63" s="84" t="str">
        <f t="shared" si="58"/>
        <v/>
      </c>
      <c r="AI63" s="84">
        <f t="shared" si="59"/>
        <v>148.99937</v>
      </c>
      <c r="AJ63" s="84" t="str">
        <f t="shared" si="60"/>
        <v/>
      </c>
      <c r="AK63" s="84" t="str">
        <f t="shared" si="61"/>
        <v/>
      </c>
      <c r="AL63" s="84" t="str">
        <f t="shared" si="62"/>
        <v/>
      </c>
      <c r="AM63" s="84" t="str">
        <f t="shared" si="63"/>
        <v/>
      </c>
      <c r="AN63" s="84" t="str">
        <f t="shared" si="64"/>
        <v/>
      </c>
      <c r="AO63" s="84">
        <f t="shared" si="65"/>
        <v>148.99937</v>
      </c>
      <c r="AP63" s="84" t="str">
        <f t="shared" si="66"/>
        <v/>
      </c>
      <c r="AQ63" s="84" t="str">
        <f t="shared" si="67"/>
        <v/>
      </c>
      <c r="AR63" s="84" t="str">
        <f t="shared" si="68"/>
        <v/>
      </c>
      <c r="AS63" s="84" t="str">
        <f t="shared" si="69"/>
        <v/>
      </c>
      <c r="AT63" s="84" t="str">
        <f t="shared" si="70"/>
        <v/>
      </c>
      <c r="AU63" s="84">
        <f t="shared" si="71"/>
        <v>148.99937</v>
      </c>
    </row>
    <row r="64" spans="1:47" ht="19" customHeight="1" x14ac:dyDescent="0.3">
      <c r="A64" s="57" t="s">
        <v>26</v>
      </c>
      <c r="B64" s="57"/>
      <c r="C64" s="57"/>
      <c r="D64" s="89">
        <f>IF(路线!B4="计算",持有情况!AM11,持有情况!AK10)-ROW()*0.00001</f>
        <v>157.99936</v>
      </c>
      <c r="E64" s="90">
        <v>0</v>
      </c>
      <c r="F64" s="90">
        <v>0</v>
      </c>
      <c r="G64" s="89">
        <v>1</v>
      </c>
      <c r="H64" s="90">
        <v>0</v>
      </c>
      <c r="I64" s="1"/>
      <c r="J64" s="89">
        <f>IF(路线!B4="计算",INT(45+8*路线!B33+4*路线!B17+30+持有情况!AM9),INT(45+8*路线!B33+4*路线!B17+30))-ROW()*0.00001</f>
        <v>157.99936</v>
      </c>
      <c r="K64" s="1"/>
      <c r="L64" s="84">
        <f t="shared" si="36"/>
        <v>157.99936</v>
      </c>
      <c r="M64" s="84">
        <f t="shared" si="37"/>
        <v>157.99936</v>
      </c>
      <c r="N64" s="84">
        <f t="shared" si="38"/>
        <v>157.99936</v>
      </c>
      <c r="O64" s="84" t="str">
        <f t="shared" si="39"/>
        <v/>
      </c>
      <c r="P64" s="84" t="str">
        <f t="shared" si="40"/>
        <v/>
      </c>
      <c r="Q64" s="84" t="str">
        <f t="shared" si="41"/>
        <v/>
      </c>
      <c r="R64" s="84" t="str">
        <f t="shared" si="42"/>
        <v/>
      </c>
      <c r="S64" s="84" t="str">
        <f t="shared" si="43"/>
        <v/>
      </c>
      <c r="T64" s="84" t="str">
        <f t="shared" si="44"/>
        <v/>
      </c>
      <c r="U64" s="84" t="str">
        <f t="shared" si="45"/>
        <v/>
      </c>
      <c r="V64" s="84" t="str">
        <f t="shared" si="46"/>
        <v/>
      </c>
      <c r="W64" s="84" t="str">
        <f t="shared" si="47"/>
        <v/>
      </c>
      <c r="X64" s="84" t="str">
        <f t="shared" si="48"/>
        <v/>
      </c>
      <c r="Y64" s="84" t="str">
        <f t="shared" si="49"/>
        <v/>
      </c>
      <c r="Z64" s="84" t="str">
        <f t="shared" si="50"/>
        <v/>
      </c>
      <c r="AA64" s="84" t="str">
        <f t="shared" si="51"/>
        <v/>
      </c>
      <c r="AB64" s="84" t="str">
        <f t="shared" si="52"/>
        <v/>
      </c>
      <c r="AC64" s="84" t="str">
        <f t="shared" si="53"/>
        <v/>
      </c>
      <c r="AD64" s="84">
        <f t="shared" si="54"/>
        <v>157.99936</v>
      </c>
      <c r="AE64" s="84" t="str">
        <f t="shared" si="55"/>
        <v/>
      </c>
      <c r="AF64" s="84" t="str">
        <f t="shared" si="56"/>
        <v/>
      </c>
      <c r="AG64" s="84" t="str">
        <f t="shared" si="57"/>
        <v/>
      </c>
      <c r="AH64" s="84" t="str">
        <f t="shared" si="58"/>
        <v/>
      </c>
      <c r="AI64" s="84" t="str">
        <f t="shared" si="59"/>
        <v/>
      </c>
      <c r="AJ64" s="84">
        <f t="shared" si="60"/>
        <v>157.99936</v>
      </c>
      <c r="AK64" s="84" t="str">
        <f t="shared" si="61"/>
        <v/>
      </c>
      <c r="AL64" s="84" t="str">
        <f t="shared" si="62"/>
        <v/>
      </c>
      <c r="AM64" s="84" t="str">
        <f t="shared" si="63"/>
        <v/>
      </c>
      <c r="AN64" s="84" t="str">
        <f t="shared" si="64"/>
        <v/>
      </c>
      <c r="AO64" s="84" t="str">
        <f t="shared" si="65"/>
        <v/>
      </c>
      <c r="AP64" s="84">
        <f t="shared" si="66"/>
        <v>157.99936</v>
      </c>
      <c r="AQ64" s="84" t="str">
        <f t="shared" si="67"/>
        <v/>
      </c>
      <c r="AR64" s="84" t="str">
        <f t="shared" si="68"/>
        <v/>
      </c>
      <c r="AS64" s="84" t="str">
        <f t="shared" si="69"/>
        <v/>
      </c>
      <c r="AT64" s="84" t="str">
        <f t="shared" si="70"/>
        <v/>
      </c>
      <c r="AU64" s="84" t="str">
        <f t="shared" si="71"/>
        <v/>
      </c>
    </row>
    <row r="65" spans="1:47" ht="19" customHeight="1" x14ac:dyDescent="0.3">
      <c r="A65" s="75" t="s">
        <v>4</v>
      </c>
      <c r="B65" s="75"/>
      <c r="C65" s="75"/>
      <c r="D65" s="89">
        <f>IF(路线!B4="计算",持有情况!AW5,持有情况!AU4)-ROW()*0.00001</f>
        <v>157.99934999999999</v>
      </c>
      <c r="E65" s="90">
        <v>0</v>
      </c>
      <c r="F65" s="90">
        <v>0</v>
      </c>
      <c r="G65" s="89">
        <v>2</v>
      </c>
      <c r="H65" s="90">
        <v>0</v>
      </c>
      <c r="I65" s="1"/>
      <c r="J65" s="89">
        <f>IF(路线!B4="计算",INT(45+8*路线!B33+4*路线!B17+30+持有情况!AW3),INT(45+8*路线!B33+4*路线!B17+30))-ROW()*0.00001</f>
        <v>157.99934999999999</v>
      </c>
      <c r="K65" s="1"/>
      <c r="L65" s="84" t="str">
        <f t="shared" si="36"/>
        <v/>
      </c>
      <c r="M65" s="84" t="str">
        <f t="shared" si="37"/>
        <v/>
      </c>
      <c r="N65" s="84" t="str">
        <f t="shared" si="38"/>
        <v/>
      </c>
      <c r="O65" s="84">
        <f t="shared" si="39"/>
        <v>157.99934999999999</v>
      </c>
      <c r="P65" s="84">
        <f t="shared" si="40"/>
        <v>157.99934999999999</v>
      </c>
      <c r="Q65" s="84">
        <f t="shared" si="41"/>
        <v>157.99934999999999</v>
      </c>
      <c r="R65" s="84" t="str">
        <f t="shared" si="42"/>
        <v/>
      </c>
      <c r="S65" s="84" t="str">
        <f t="shared" si="43"/>
        <v/>
      </c>
      <c r="T65" s="84" t="str">
        <f t="shared" si="44"/>
        <v/>
      </c>
      <c r="U65" s="84" t="str">
        <f t="shared" si="45"/>
        <v/>
      </c>
      <c r="V65" s="84" t="str">
        <f t="shared" si="46"/>
        <v/>
      </c>
      <c r="W65" s="84" t="str">
        <f t="shared" si="47"/>
        <v/>
      </c>
      <c r="X65" s="84" t="str">
        <f t="shared" si="48"/>
        <v/>
      </c>
      <c r="Y65" s="84" t="str">
        <f t="shared" si="49"/>
        <v/>
      </c>
      <c r="Z65" s="84" t="str">
        <f t="shared" si="50"/>
        <v/>
      </c>
      <c r="AA65" s="84" t="str">
        <f t="shared" si="51"/>
        <v/>
      </c>
      <c r="AB65" s="84" t="str">
        <f t="shared" si="52"/>
        <v/>
      </c>
      <c r="AC65" s="84" t="str">
        <f t="shared" si="53"/>
        <v/>
      </c>
      <c r="AD65" s="84" t="str">
        <f t="shared" si="54"/>
        <v/>
      </c>
      <c r="AE65" s="84">
        <f t="shared" si="55"/>
        <v>157.99934999999999</v>
      </c>
      <c r="AF65" s="84" t="str">
        <f t="shared" si="56"/>
        <v/>
      </c>
      <c r="AG65" s="84" t="str">
        <f t="shared" si="57"/>
        <v/>
      </c>
      <c r="AH65" s="84" t="str">
        <f t="shared" si="58"/>
        <v/>
      </c>
      <c r="AI65" s="84" t="str">
        <f t="shared" si="59"/>
        <v/>
      </c>
      <c r="AJ65" s="84" t="str">
        <f t="shared" si="60"/>
        <v/>
      </c>
      <c r="AK65" s="84">
        <f t="shared" si="61"/>
        <v>157.99934999999999</v>
      </c>
      <c r="AL65" s="84" t="str">
        <f t="shared" si="62"/>
        <v/>
      </c>
      <c r="AM65" s="84" t="str">
        <f t="shared" si="63"/>
        <v/>
      </c>
      <c r="AN65" s="84" t="str">
        <f t="shared" si="64"/>
        <v/>
      </c>
      <c r="AO65" s="84" t="str">
        <f t="shared" si="65"/>
        <v/>
      </c>
      <c r="AP65" s="84" t="str">
        <f t="shared" si="66"/>
        <v/>
      </c>
      <c r="AQ65" s="84">
        <f t="shared" si="67"/>
        <v>157.99934999999999</v>
      </c>
      <c r="AR65" s="84" t="str">
        <f t="shared" si="68"/>
        <v/>
      </c>
      <c r="AS65" s="84" t="str">
        <f t="shared" si="69"/>
        <v/>
      </c>
      <c r="AT65" s="84" t="str">
        <f t="shared" si="70"/>
        <v/>
      </c>
      <c r="AU65" s="84" t="str">
        <f t="shared" si="71"/>
        <v/>
      </c>
    </row>
    <row r="66" spans="1:47" ht="19" customHeight="1" x14ac:dyDescent="0.3">
      <c r="A66" s="67" t="s">
        <v>28</v>
      </c>
      <c r="B66" s="67"/>
      <c r="C66" s="67"/>
      <c r="D66" s="89">
        <f>IF(路线!B4="计算",持有情况!BG11,持有情况!BE10)-ROW()*0.00001</f>
        <v>157.99933999999999</v>
      </c>
      <c r="E66" s="90">
        <v>0</v>
      </c>
      <c r="F66" s="90">
        <v>0</v>
      </c>
      <c r="G66" s="89">
        <v>3</v>
      </c>
      <c r="H66" s="90">
        <v>0</v>
      </c>
      <c r="I66" s="1"/>
      <c r="J66" s="89">
        <f>IF(路线!B4="计算",INT(45+8*路线!B33+4*路线!B17+30+持有情况!BG9),INT(45+8*路线!B33+4*路线!B17+30))-ROW()*0.00001</f>
        <v>157.99933999999999</v>
      </c>
      <c r="K66" s="1"/>
      <c r="L66" s="84" t="str">
        <f t="shared" ref="L66:L97" si="72">IF(AND(OR(E66=1,E66=0),G66=1),D66,"")</f>
        <v/>
      </c>
      <c r="M66" s="84" t="str">
        <f t="shared" ref="M66:M97" si="73">IF(AND(OR(E66=2,E66=0),G66=1),D66,"")</f>
        <v/>
      </c>
      <c r="N66" s="84" t="str">
        <f t="shared" ref="N66:N97" si="74">IF(AND(OR(E66=3,E66=0),G66=1),D66,"")</f>
        <v/>
      </c>
      <c r="O66" s="84" t="str">
        <f t="shared" ref="O66:O97" si="75">IF(AND(OR(E66=1,E66=0),G66=2),D66,"")</f>
        <v/>
      </c>
      <c r="P66" s="84" t="str">
        <f t="shared" ref="P66:P97" si="76">IF(AND(OR(E66=2,E66=0),G66=2),D66,"")</f>
        <v/>
      </c>
      <c r="Q66" s="84" t="str">
        <f t="shared" ref="Q66:Q97" si="77">IF(AND(OR(E66=3,E66=0),G66=2),D66,"")</f>
        <v/>
      </c>
      <c r="R66" s="84">
        <f t="shared" ref="R66:R97" si="78">IF(AND(OR(E66=1,E66=0),G66=3),D66,"")</f>
        <v>157.99933999999999</v>
      </c>
      <c r="S66" s="84">
        <f t="shared" ref="S66:S97" si="79">IF(AND(OR(E66=2,E66=0),G66=3),D66,"")</f>
        <v>157.99933999999999</v>
      </c>
      <c r="T66" s="84">
        <f t="shared" ref="T66:T97" si="80">IF(AND(OR(E66=3,E66=0),G66=3),D66,"")</f>
        <v>157.99933999999999</v>
      </c>
      <c r="U66" s="84" t="str">
        <f t="shared" ref="U66:U97" si="81">IF(AND(OR(E66=1,E66=0),G66=1,F66=1),D66,"")</f>
        <v/>
      </c>
      <c r="V66" s="84" t="str">
        <f t="shared" ref="V66:V97" si="82">IF(AND(OR(E66=1,E66=0),G66=2,F66=1),D66,"")</f>
        <v/>
      </c>
      <c r="W66" s="84" t="str">
        <f t="shared" ref="W66:W97" si="83">IF(AND(OR(E66=1,E66=0),G66=3,F66=1),D66,"")</f>
        <v/>
      </c>
      <c r="X66" s="84" t="str">
        <f t="shared" ref="X66:X97" si="84">IF(AND(OR(E66=2,E66=0),G66=1,F66=1),D66,"")</f>
        <v/>
      </c>
      <c r="Y66" s="84" t="str">
        <f t="shared" ref="Y66:Y97" si="85">IF(AND(OR(E66=2,E66=0),G66=2,F66=1),D66,"")</f>
        <v/>
      </c>
      <c r="Z66" s="84" t="str">
        <f t="shared" ref="Z66:Z97" si="86">IF(AND(OR(E66=2,E66=0),G66=3,F66=1),D66,"")</f>
        <v/>
      </c>
      <c r="AA66" s="84" t="str">
        <f t="shared" ref="AA66:AA97" si="87">IF(AND(OR(E66=3,E66=0),G66=1,F66=1),D66,"")</f>
        <v/>
      </c>
      <c r="AB66" s="84" t="str">
        <f t="shared" ref="AB66:AB97" si="88">IF(AND(OR(E66=3,E66=0),G66=2,F66=1),D66,"")</f>
        <v/>
      </c>
      <c r="AC66" s="84" t="str">
        <f t="shared" ref="AC66:AC97" si="89">IF(AND(OR(E66=3,E66=0),G66=3,F66=1),D66,"")</f>
        <v/>
      </c>
      <c r="AD66" s="84" t="str">
        <f t="shared" ref="AD66:AD97" si="90">IF(AND(OR(E66=1,E66=0),G66=1,F66=0),J66,"")</f>
        <v/>
      </c>
      <c r="AE66" s="84" t="str">
        <f t="shared" ref="AE66:AE97" si="91">IF(AND(OR(E66=1,E66=0),G66=2,F66=0),J66,"")</f>
        <v/>
      </c>
      <c r="AF66" s="84">
        <f t="shared" ref="AF66:AF97" si="92">IF(AND(OR(E66=1,E66=0),G66=3,F66=0),J66,"")</f>
        <v>157.99933999999999</v>
      </c>
      <c r="AG66" s="84" t="str">
        <f t="shared" ref="AG66:AG97" si="93">IF(AND(OR(E66=1,E66=0),G66=1,F66=1),J66,"")</f>
        <v/>
      </c>
      <c r="AH66" s="84" t="str">
        <f t="shared" ref="AH66:AH97" si="94">IF(AND(OR(E66=1,E66=0),G66=2,F66=1),J66,"")</f>
        <v/>
      </c>
      <c r="AI66" s="84" t="str">
        <f t="shared" ref="AI66:AI97" si="95">IF(AND(OR(E66=1,E66=0),G66=3,F66=1),J66,"")</f>
        <v/>
      </c>
      <c r="AJ66" s="84" t="str">
        <f t="shared" ref="AJ66:AJ97" si="96">IF(AND(OR(E66=2,E66=0),G66=1,F66=0),J66,"")</f>
        <v/>
      </c>
      <c r="AK66" s="84" t="str">
        <f t="shared" ref="AK66:AK97" si="97">IF(AND(OR(E66=2,E66=0),G66=2,F66=0),J66,"")</f>
        <v/>
      </c>
      <c r="AL66" s="84">
        <f t="shared" ref="AL66:AL97" si="98">IF(AND(OR(E66=2,E66=0),G66=3,F66=0),J66,"")</f>
        <v>157.99933999999999</v>
      </c>
      <c r="AM66" s="84" t="str">
        <f t="shared" ref="AM66:AM97" si="99">IF(AND(OR(E66=2,E66=0),G66=1,F66=1),J66,"")</f>
        <v/>
      </c>
      <c r="AN66" s="84" t="str">
        <f t="shared" ref="AN66:AN97" si="100">IF(AND(OR(E66=2,E66=0),G66=2,F66=1),J66,"")</f>
        <v/>
      </c>
      <c r="AO66" s="84" t="str">
        <f t="shared" ref="AO66:AO97" si="101">IF(AND(OR(E66=2,E66=0),G66=3,F66=1),J66,"")</f>
        <v/>
      </c>
      <c r="AP66" s="84" t="str">
        <f t="shared" ref="AP66:AP97" si="102">IF(AND(OR(E66=3,E66=0),G66=1,F66=0),J66,"")</f>
        <v/>
      </c>
      <c r="AQ66" s="84" t="str">
        <f t="shared" ref="AQ66:AQ97" si="103">IF(AND(OR(E66=3,E66=0),G66=2,F66=0),J66,"")</f>
        <v/>
      </c>
      <c r="AR66" s="84">
        <f t="shared" ref="AR66:AR97" si="104">IF(AND(OR(E66=3,E66=0),G66=3,F66=0),J66,"")</f>
        <v>157.99933999999999</v>
      </c>
      <c r="AS66" s="84" t="str">
        <f t="shared" ref="AS66:AS97" si="105">IF(AND(OR(E66=3,E66=0),G66=1,F66=1),J66,"")</f>
        <v/>
      </c>
      <c r="AT66" s="84" t="str">
        <f t="shared" ref="AT66:AT97" si="106">IF(AND(OR(E66=3,E66=0),G66=2,F66=1),J66,"")</f>
        <v/>
      </c>
      <c r="AU66" s="84" t="str">
        <f t="shared" ref="AU66:AU97" si="107">IF(AND(OR(E66=3,E66=0),G66=3,F66=1),J66,"")</f>
        <v/>
      </c>
    </row>
    <row r="67" spans="1:47" ht="19" customHeight="1" x14ac:dyDescent="0.3">
      <c r="A67" s="75" t="s">
        <v>1</v>
      </c>
      <c r="B67" s="75"/>
      <c r="C67" s="75"/>
      <c r="D67" s="89">
        <f>持有情况!Q4-ROW()*0.00001</f>
        <v>144.99932999999999</v>
      </c>
      <c r="E67" s="90">
        <v>0</v>
      </c>
      <c r="F67" s="90">
        <v>0</v>
      </c>
      <c r="G67" s="89">
        <v>2</v>
      </c>
      <c r="H67" s="89">
        <v>1</v>
      </c>
      <c r="I67" s="84" t="s">
        <v>320</v>
      </c>
      <c r="J67" s="89">
        <f>INT((8.5/100)*路线!B12+6*路线!B17+3*路线!B23+40)-ROW()*0.00001</f>
        <v>144.99932999999999</v>
      </c>
      <c r="K67" s="1"/>
      <c r="L67" s="84" t="str">
        <f t="shared" si="72"/>
        <v/>
      </c>
      <c r="M67" s="84" t="str">
        <f t="shared" si="73"/>
        <v/>
      </c>
      <c r="N67" s="84" t="str">
        <f t="shared" si="74"/>
        <v/>
      </c>
      <c r="O67" s="84">
        <f t="shared" si="75"/>
        <v>144.99932999999999</v>
      </c>
      <c r="P67" s="84">
        <f t="shared" si="76"/>
        <v>144.99932999999999</v>
      </c>
      <c r="Q67" s="84">
        <f t="shared" si="77"/>
        <v>144.99932999999999</v>
      </c>
      <c r="R67" s="84" t="str">
        <f t="shared" si="78"/>
        <v/>
      </c>
      <c r="S67" s="84" t="str">
        <f t="shared" si="79"/>
        <v/>
      </c>
      <c r="T67" s="84" t="str">
        <f t="shared" si="80"/>
        <v/>
      </c>
      <c r="U67" s="84" t="str">
        <f t="shared" si="81"/>
        <v/>
      </c>
      <c r="V67" s="84" t="str">
        <f t="shared" si="82"/>
        <v/>
      </c>
      <c r="W67" s="84" t="str">
        <f t="shared" si="83"/>
        <v/>
      </c>
      <c r="X67" s="84" t="str">
        <f t="shared" si="84"/>
        <v/>
      </c>
      <c r="Y67" s="84" t="str">
        <f t="shared" si="85"/>
        <v/>
      </c>
      <c r="Z67" s="84" t="str">
        <f t="shared" si="86"/>
        <v/>
      </c>
      <c r="AA67" s="84" t="str">
        <f t="shared" si="87"/>
        <v/>
      </c>
      <c r="AB67" s="84" t="str">
        <f t="shared" si="88"/>
        <v/>
      </c>
      <c r="AC67" s="84" t="str">
        <f t="shared" si="89"/>
        <v/>
      </c>
      <c r="AD67" s="84" t="str">
        <f t="shared" si="90"/>
        <v/>
      </c>
      <c r="AE67" s="84">
        <f t="shared" si="91"/>
        <v>144.99932999999999</v>
      </c>
      <c r="AF67" s="84" t="str">
        <f t="shared" si="92"/>
        <v/>
      </c>
      <c r="AG67" s="84" t="str">
        <f t="shared" si="93"/>
        <v/>
      </c>
      <c r="AH67" s="84" t="str">
        <f t="shared" si="94"/>
        <v/>
      </c>
      <c r="AI67" s="84" t="str">
        <f t="shared" si="95"/>
        <v/>
      </c>
      <c r="AJ67" s="84" t="str">
        <f t="shared" si="96"/>
        <v/>
      </c>
      <c r="AK67" s="84">
        <f t="shared" si="97"/>
        <v>144.99932999999999</v>
      </c>
      <c r="AL67" s="84" t="str">
        <f t="shared" si="98"/>
        <v/>
      </c>
      <c r="AM67" s="84" t="str">
        <f t="shared" si="99"/>
        <v/>
      </c>
      <c r="AN67" s="84" t="str">
        <f t="shared" si="100"/>
        <v/>
      </c>
      <c r="AO67" s="84" t="str">
        <f t="shared" si="101"/>
        <v/>
      </c>
      <c r="AP67" s="84" t="str">
        <f t="shared" si="102"/>
        <v/>
      </c>
      <c r="AQ67" s="84">
        <f t="shared" si="103"/>
        <v>144.99932999999999</v>
      </c>
      <c r="AR67" s="84" t="str">
        <f t="shared" si="104"/>
        <v/>
      </c>
      <c r="AS67" s="84" t="str">
        <f t="shared" si="105"/>
        <v/>
      </c>
      <c r="AT67" s="84" t="str">
        <f t="shared" si="106"/>
        <v/>
      </c>
      <c r="AU67" s="84" t="str">
        <f t="shared" si="107"/>
        <v/>
      </c>
    </row>
    <row r="68" spans="1:47" ht="19" customHeight="1" x14ac:dyDescent="0.3">
      <c r="A68" s="67" t="s">
        <v>43</v>
      </c>
      <c r="B68" s="67"/>
      <c r="C68" s="67"/>
      <c r="D68" s="89">
        <f>持有情况!AA22-ROW()*0.00001</f>
        <v>164.99932000000001</v>
      </c>
      <c r="E68" s="90">
        <v>0</v>
      </c>
      <c r="F68" s="90">
        <v>0</v>
      </c>
      <c r="G68" s="89">
        <v>3</v>
      </c>
      <c r="H68" s="89">
        <v>1</v>
      </c>
      <c r="I68" s="84" t="s">
        <v>321</v>
      </c>
      <c r="J68" s="89">
        <f>IF(路线!C6="计算",INT((8.5/100)*路线!B12+6*路线!B17+3*路线!B23+40+20)-ROW()*0.00001,INT((8.5/100)*路线!B12+6*路线!B17+3*路线!B23+40)-ROW()*0.00001)</f>
        <v>164.99932000000001</v>
      </c>
      <c r="K68" s="1"/>
      <c r="L68" s="84" t="str">
        <f t="shared" si="72"/>
        <v/>
      </c>
      <c r="M68" s="84" t="str">
        <f t="shared" si="73"/>
        <v/>
      </c>
      <c r="N68" s="84" t="str">
        <f t="shared" si="74"/>
        <v/>
      </c>
      <c r="O68" s="84" t="str">
        <f t="shared" si="75"/>
        <v/>
      </c>
      <c r="P68" s="84" t="str">
        <f t="shared" si="76"/>
        <v/>
      </c>
      <c r="Q68" s="84" t="str">
        <f t="shared" si="77"/>
        <v/>
      </c>
      <c r="R68" s="84">
        <f t="shared" si="78"/>
        <v>164.99932000000001</v>
      </c>
      <c r="S68" s="84">
        <f t="shared" si="79"/>
        <v>164.99932000000001</v>
      </c>
      <c r="T68" s="84">
        <f t="shared" si="80"/>
        <v>164.99932000000001</v>
      </c>
      <c r="U68" s="84" t="str">
        <f t="shared" si="81"/>
        <v/>
      </c>
      <c r="V68" s="84" t="str">
        <f t="shared" si="82"/>
        <v/>
      </c>
      <c r="W68" s="84" t="str">
        <f t="shared" si="83"/>
        <v/>
      </c>
      <c r="X68" s="84" t="str">
        <f t="shared" si="84"/>
        <v/>
      </c>
      <c r="Y68" s="84" t="str">
        <f t="shared" si="85"/>
        <v/>
      </c>
      <c r="Z68" s="84" t="str">
        <f t="shared" si="86"/>
        <v/>
      </c>
      <c r="AA68" s="84" t="str">
        <f t="shared" si="87"/>
        <v/>
      </c>
      <c r="AB68" s="84" t="str">
        <f t="shared" si="88"/>
        <v/>
      </c>
      <c r="AC68" s="84" t="str">
        <f t="shared" si="89"/>
        <v/>
      </c>
      <c r="AD68" s="84" t="str">
        <f t="shared" si="90"/>
        <v/>
      </c>
      <c r="AE68" s="84" t="str">
        <f t="shared" si="91"/>
        <v/>
      </c>
      <c r="AF68" s="84">
        <f t="shared" si="92"/>
        <v>164.99932000000001</v>
      </c>
      <c r="AG68" s="84" t="str">
        <f t="shared" si="93"/>
        <v/>
      </c>
      <c r="AH68" s="84" t="str">
        <f t="shared" si="94"/>
        <v/>
      </c>
      <c r="AI68" s="84" t="str">
        <f t="shared" si="95"/>
        <v/>
      </c>
      <c r="AJ68" s="84" t="str">
        <f t="shared" si="96"/>
        <v/>
      </c>
      <c r="AK68" s="84" t="str">
        <f t="shared" si="97"/>
        <v/>
      </c>
      <c r="AL68" s="84">
        <f t="shared" si="98"/>
        <v>164.99932000000001</v>
      </c>
      <c r="AM68" s="84" t="str">
        <f t="shared" si="99"/>
        <v/>
      </c>
      <c r="AN68" s="84" t="str">
        <f t="shared" si="100"/>
        <v/>
      </c>
      <c r="AO68" s="84" t="str">
        <f t="shared" si="101"/>
        <v/>
      </c>
      <c r="AP68" s="84" t="str">
        <f t="shared" si="102"/>
        <v/>
      </c>
      <c r="AQ68" s="84" t="str">
        <f t="shared" si="103"/>
        <v/>
      </c>
      <c r="AR68" s="84">
        <f t="shared" si="104"/>
        <v>164.99932000000001</v>
      </c>
      <c r="AS68" s="84" t="str">
        <f t="shared" si="105"/>
        <v/>
      </c>
      <c r="AT68" s="84" t="str">
        <f t="shared" si="106"/>
        <v/>
      </c>
      <c r="AU68" s="84" t="str">
        <f t="shared" si="107"/>
        <v/>
      </c>
    </row>
    <row r="69" spans="1:47" ht="19" customHeight="1" x14ac:dyDescent="0.3">
      <c r="A69" s="67" t="s">
        <v>72</v>
      </c>
      <c r="B69" s="67"/>
      <c r="C69" s="67"/>
      <c r="D69" s="89">
        <f>持有情况!AA46-ROW()*0.00001</f>
        <v>173.99931000000001</v>
      </c>
      <c r="E69" s="89">
        <v>2</v>
      </c>
      <c r="F69" s="89">
        <v>1</v>
      </c>
      <c r="G69" s="89">
        <v>3</v>
      </c>
      <c r="H69" s="89">
        <v>1</v>
      </c>
      <c r="I69" s="84" t="s">
        <v>322</v>
      </c>
      <c r="J69" s="89">
        <f>IF(路线!C6="计算",INT(60+6*路线!B17+3*路线!B24+40+20)-ROW()*0.00001,INT(60+6*路线!B17+3*路线!B24+40)-ROW()*0.00001)</f>
        <v>173.99931000000001</v>
      </c>
      <c r="K69" s="1"/>
      <c r="L69" s="84" t="str">
        <f t="shared" si="72"/>
        <v/>
      </c>
      <c r="M69" s="84" t="str">
        <f t="shared" si="73"/>
        <v/>
      </c>
      <c r="N69" s="84" t="str">
        <f t="shared" si="74"/>
        <v/>
      </c>
      <c r="O69" s="84" t="str">
        <f t="shared" si="75"/>
        <v/>
      </c>
      <c r="P69" s="84" t="str">
        <f t="shared" si="76"/>
        <v/>
      </c>
      <c r="Q69" s="84" t="str">
        <f t="shared" si="77"/>
        <v/>
      </c>
      <c r="R69" s="84" t="str">
        <f t="shared" si="78"/>
        <v/>
      </c>
      <c r="S69" s="84">
        <f t="shared" si="79"/>
        <v>173.99931000000001</v>
      </c>
      <c r="T69" s="84" t="str">
        <f t="shared" si="80"/>
        <v/>
      </c>
      <c r="U69" s="84" t="str">
        <f t="shared" si="81"/>
        <v/>
      </c>
      <c r="V69" s="84" t="str">
        <f t="shared" si="82"/>
        <v/>
      </c>
      <c r="W69" s="84" t="str">
        <f t="shared" si="83"/>
        <v/>
      </c>
      <c r="X69" s="84" t="str">
        <f t="shared" si="84"/>
        <v/>
      </c>
      <c r="Y69" s="84" t="str">
        <f t="shared" si="85"/>
        <v/>
      </c>
      <c r="Z69" s="84">
        <f t="shared" si="86"/>
        <v>173.99931000000001</v>
      </c>
      <c r="AA69" s="84" t="str">
        <f t="shared" si="87"/>
        <v/>
      </c>
      <c r="AB69" s="84" t="str">
        <f t="shared" si="88"/>
        <v/>
      </c>
      <c r="AC69" s="84" t="str">
        <f t="shared" si="89"/>
        <v/>
      </c>
      <c r="AD69" s="84" t="str">
        <f t="shared" si="90"/>
        <v/>
      </c>
      <c r="AE69" s="84" t="str">
        <f t="shared" si="91"/>
        <v/>
      </c>
      <c r="AF69" s="84" t="str">
        <f t="shared" si="92"/>
        <v/>
      </c>
      <c r="AG69" s="84" t="str">
        <f t="shared" si="93"/>
        <v/>
      </c>
      <c r="AH69" s="84" t="str">
        <f t="shared" si="94"/>
        <v/>
      </c>
      <c r="AI69" s="84" t="str">
        <f t="shared" si="95"/>
        <v/>
      </c>
      <c r="AJ69" s="84" t="str">
        <f t="shared" si="96"/>
        <v/>
      </c>
      <c r="AK69" s="84" t="str">
        <f t="shared" si="97"/>
        <v/>
      </c>
      <c r="AL69" s="84" t="str">
        <f t="shared" si="98"/>
        <v/>
      </c>
      <c r="AM69" s="84" t="str">
        <f t="shared" si="99"/>
        <v/>
      </c>
      <c r="AN69" s="84" t="str">
        <f t="shared" si="100"/>
        <v/>
      </c>
      <c r="AO69" s="84">
        <f t="shared" si="101"/>
        <v>173.99931000000001</v>
      </c>
      <c r="AP69" s="84" t="str">
        <f t="shared" si="102"/>
        <v/>
      </c>
      <c r="AQ69" s="84" t="str">
        <f t="shared" si="103"/>
        <v/>
      </c>
      <c r="AR69" s="84" t="str">
        <f t="shared" si="104"/>
        <v/>
      </c>
      <c r="AS69" s="84" t="str">
        <f t="shared" si="105"/>
        <v/>
      </c>
      <c r="AT69" s="84" t="str">
        <f t="shared" si="106"/>
        <v/>
      </c>
      <c r="AU69" s="84" t="str">
        <f t="shared" si="107"/>
        <v/>
      </c>
    </row>
    <row r="70" spans="1:47" ht="19" customHeight="1" x14ac:dyDescent="0.3">
      <c r="A70" s="57" t="s">
        <v>55</v>
      </c>
      <c r="B70" s="57"/>
      <c r="C70" s="57"/>
      <c r="D70" s="89">
        <f>持有情况!G34-ROW()*0.00001</f>
        <v>133.99930000000001</v>
      </c>
      <c r="E70" s="90">
        <v>0</v>
      </c>
      <c r="F70" s="89">
        <v>1</v>
      </c>
      <c r="G70" s="89">
        <v>1</v>
      </c>
      <c r="H70" s="89">
        <v>1</v>
      </c>
      <c r="I70" s="84" t="s">
        <v>323</v>
      </c>
      <c r="J70" s="89">
        <f>INT(60+6*路线!B17+4*(路线!B28+路线!B29)+40)-ROW()*0.00001</f>
        <v>133.99930000000001</v>
      </c>
      <c r="K70" s="1"/>
      <c r="L70" s="84">
        <f t="shared" si="72"/>
        <v>133.99930000000001</v>
      </c>
      <c r="M70" s="84">
        <f t="shared" si="73"/>
        <v>133.99930000000001</v>
      </c>
      <c r="N70" s="84">
        <f t="shared" si="74"/>
        <v>133.99930000000001</v>
      </c>
      <c r="O70" s="84" t="str">
        <f t="shared" si="75"/>
        <v/>
      </c>
      <c r="P70" s="84" t="str">
        <f t="shared" si="76"/>
        <v/>
      </c>
      <c r="Q70" s="84" t="str">
        <f t="shared" si="77"/>
        <v/>
      </c>
      <c r="R70" s="84" t="str">
        <f t="shared" si="78"/>
        <v/>
      </c>
      <c r="S70" s="84" t="str">
        <f t="shared" si="79"/>
        <v/>
      </c>
      <c r="T70" s="84" t="str">
        <f t="shared" si="80"/>
        <v/>
      </c>
      <c r="U70" s="84">
        <f t="shared" si="81"/>
        <v>133.99930000000001</v>
      </c>
      <c r="V70" s="84" t="str">
        <f t="shared" si="82"/>
        <v/>
      </c>
      <c r="W70" s="84" t="str">
        <f t="shared" si="83"/>
        <v/>
      </c>
      <c r="X70" s="84">
        <f t="shared" si="84"/>
        <v>133.99930000000001</v>
      </c>
      <c r="Y70" s="84" t="str">
        <f t="shared" si="85"/>
        <v/>
      </c>
      <c r="Z70" s="84" t="str">
        <f t="shared" si="86"/>
        <v/>
      </c>
      <c r="AA70" s="84">
        <f t="shared" si="87"/>
        <v>133.99930000000001</v>
      </c>
      <c r="AB70" s="84" t="str">
        <f t="shared" si="88"/>
        <v/>
      </c>
      <c r="AC70" s="84" t="str">
        <f t="shared" si="89"/>
        <v/>
      </c>
      <c r="AD70" s="84" t="str">
        <f t="shared" si="90"/>
        <v/>
      </c>
      <c r="AE70" s="84" t="str">
        <f t="shared" si="91"/>
        <v/>
      </c>
      <c r="AF70" s="84" t="str">
        <f t="shared" si="92"/>
        <v/>
      </c>
      <c r="AG70" s="84">
        <f t="shared" si="93"/>
        <v>133.99930000000001</v>
      </c>
      <c r="AH70" s="84" t="str">
        <f t="shared" si="94"/>
        <v/>
      </c>
      <c r="AI70" s="84" t="str">
        <f t="shared" si="95"/>
        <v/>
      </c>
      <c r="AJ70" s="84" t="str">
        <f t="shared" si="96"/>
        <v/>
      </c>
      <c r="AK70" s="84" t="str">
        <f t="shared" si="97"/>
        <v/>
      </c>
      <c r="AL70" s="84" t="str">
        <f t="shared" si="98"/>
        <v/>
      </c>
      <c r="AM70" s="84">
        <f t="shared" si="99"/>
        <v>133.99930000000001</v>
      </c>
      <c r="AN70" s="84" t="str">
        <f t="shared" si="100"/>
        <v/>
      </c>
      <c r="AO70" s="84" t="str">
        <f t="shared" si="101"/>
        <v/>
      </c>
      <c r="AP70" s="84" t="str">
        <f t="shared" si="102"/>
        <v/>
      </c>
      <c r="AQ70" s="84" t="str">
        <f t="shared" si="103"/>
        <v/>
      </c>
      <c r="AR70" s="84" t="str">
        <f t="shared" si="104"/>
        <v/>
      </c>
      <c r="AS70" s="84">
        <f t="shared" si="105"/>
        <v>133.99930000000001</v>
      </c>
      <c r="AT70" s="84" t="str">
        <f t="shared" si="106"/>
        <v/>
      </c>
      <c r="AU70" s="84" t="str">
        <f t="shared" si="107"/>
        <v/>
      </c>
    </row>
    <row r="71" spans="1:47" ht="19" customHeight="1" x14ac:dyDescent="0.3">
      <c r="A71" s="75" t="s">
        <v>102</v>
      </c>
      <c r="B71" s="75"/>
      <c r="C71" s="75"/>
      <c r="D71" s="89">
        <f>持有情况!AU70-ROW()*0.00001</f>
        <v>143.99929</v>
      </c>
      <c r="E71" s="89">
        <v>1</v>
      </c>
      <c r="F71" s="90">
        <v>0</v>
      </c>
      <c r="G71" s="89">
        <v>2</v>
      </c>
      <c r="H71" s="89">
        <v>1</v>
      </c>
      <c r="I71" s="84" t="s">
        <v>324</v>
      </c>
      <c r="J71" s="89">
        <f>INT((6.4/100)*路线!B12+8*路线!B33+13*路线!B18+30)-ROW()*0.00001</f>
        <v>143.99929</v>
      </c>
      <c r="K71" s="1"/>
      <c r="L71" s="84" t="str">
        <f t="shared" si="72"/>
        <v/>
      </c>
      <c r="M71" s="84" t="str">
        <f t="shared" si="73"/>
        <v/>
      </c>
      <c r="N71" s="84" t="str">
        <f t="shared" si="74"/>
        <v/>
      </c>
      <c r="O71" s="84">
        <f t="shared" si="75"/>
        <v>143.99929</v>
      </c>
      <c r="P71" s="84" t="str">
        <f t="shared" si="76"/>
        <v/>
      </c>
      <c r="Q71" s="84" t="str">
        <f t="shared" si="77"/>
        <v/>
      </c>
      <c r="R71" s="84" t="str">
        <f t="shared" si="78"/>
        <v/>
      </c>
      <c r="S71" s="84" t="str">
        <f t="shared" si="79"/>
        <v/>
      </c>
      <c r="T71" s="84" t="str">
        <f t="shared" si="80"/>
        <v/>
      </c>
      <c r="U71" s="84" t="str">
        <f t="shared" si="81"/>
        <v/>
      </c>
      <c r="V71" s="84" t="str">
        <f t="shared" si="82"/>
        <v/>
      </c>
      <c r="W71" s="84" t="str">
        <f t="shared" si="83"/>
        <v/>
      </c>
      <c r="X71" s="84" t="str">
        <f t="shared" si="84"/>
        <v/>
      </c>
      <c r="Y71" s="84" t="str">
        <f t="shared" si="85"/>
        <v/>
      </c>
      <c r="Z71" s="84" t="str">
        <f t="shared" si="86"/>
        <v/>
      </c>
      <c r="AA71" s="84" t="str">
        <f t="shared" si="87"/>
        <v/>
      </c>
      <c r="AB71" s="84" t="str">
        <f t="shared" si="88"/>
        <v/>
      </c>
      <c r="AC71" s="84" t="str">
        <f t="shared" si="89"/>
        <v/>
      </c>
      <c r="AD71" s="84" t="str">
        <f t="shared" si="90"/>
        <v/>
      </c>
      <c r="AE71" s="84">
        <f t="shared" si="91"/>
        <v>143.99929</v>
      </c>
      <c r="AF71" s="84" t="str">
        <f t="shared" si="92"/>
        <v/>
      </c>
      <c r="AG71" s="84" t="str">
        <f t="shared" si="93"/>
        <v/>
      </c>
      <c r="AH71" s="84" t="str">
        <f t="shared" si="94"/>
        <v/>
      </c>
      <c r="AI71" s="84" t="str">
        <f t="shared" si="95"/>
        <v/>
      </c>
      <c r="AJ71" s="84" t="str">
        <f t="shared" si="96"/>
        <v/>
      </c>
      <c r="AK71" s="84" t="str">
        <f t="shared" si="97"/>
        <v/>
      </c>
      <c r="AL71" s="84" t="str">
        <f t="shared" si="98"/>
        <v/>
      </c>
      <c r="AM71" s="84" t="str">
        <f t="shared" si="99"/>
        <v/>
      </c>
      <c r="AN71" s="84" t="str">
        <f t="shared" si="100"/>
        <v/>
      </c>
      <c r="AO71" s="84" t="str">
        <f t="shared" si="101"/>
        <v/>
      </c>
      <c r="AP71" s="84" t="str">
        <f t="shared" si="102"/>
        <v/>
      </c>
      <c r="AQ71" s="84" t="str">
        <f t="shared" si="103"/>
        <v/>
      </c>
      <c r="AR71" s="84" t="str">
        <f t="shared" si="104"/>
        <v/>
      </c>
      <c r="AS71" s="84" t="str">
        <f t="shared" si="105"/>
        <v/>
      </c>
      <c r="AT71" s="84" t="str">
        <f t="shared" si="106"/>
        <v/>
      </c>
      <c r="AU71" s="84" t="str">
        <f t="shared" si="107"/>
        <v/>
      </c>
    </row>
    <row r="72" spans="1:47" ht="19" customHeight="1" x14ac:dyDescent="0.3">
      <c r="A72" s="75" t="s">
        <v>117</v>
      </c>
      <c r="B72" s="75"/>
      <c r="C72" s="75"/>
      <c r="D72" s="89">
        <f>持有情况!AU82-ROW()*0.00001</f>
        <v>158.99928</v>
      </c>
      <c r="E72" s="90">
        <v>0</v>
      </c>
      <c r="F72" s="90">
        <v>0</v>
      </c>
      <c r="G72" s="89">
        <v>2</v>
      </c>
      <c r="H72" s="90">
        <v>0</v>
      </c>
      <c r="I72" s="1"/>
      <c r="J72" s="89">
        <f>INT(45+3*(路线!B28+路线!B29)+11*路线!B34+13*路线!B15+30)-ROW()*0.00001</f>
        <v>171.99928</v>
      </c>
      <c r="K72" s="1"/>
      <c r="L72" s="84" t="str">
        <f t="shared" si="72"/>
        <v/>
      </c>
      <c r="M72" s="84" t="str">
        <f t="shared" si="73"/>
        <v/>
      </c>
      <c r="N72" s="84" t="str">
        <f t="shared" si="74"/>
        <v/>
      </c>
      <c r="O72" s="84">
        <f t="shared" si="75"/>
        <v>158.99928</v>
      </c>
      <c r="P72" s="84">
        <f t="shared" si="76"/>
        <v>158.99928</v>
      </c>
      <c r="Q72" s="84">
        <f t="shared" si="77"/>
        <v>158.99928</v>
      </c>
      <c r="R72" s="84" t="str">
        <f t="shared" si="78"/>
        <v/>
      </c>
      <c r="S72" s="84" t="str">
        <f t="shared" si="79"/>
        <v/>
      </c>
      <c r="T72" s="84" t="str">
        <f t="shared" si="80"/>
        <v/>
      </c>
      <c r="U72" s="84" t="str">
        <f t="shared" si="81"/>
        <v/>
      </c>
      <c r="V72" s="84" t="str">
        <f t="shared" si="82"/>
        <v/>
      </c>
      <c r="W72" s="84" t="str">
        <f t="shared" si="83"/>
        <v/>
      </c>
      <c r="X72" s="84" t="str">
        <f t="shared" si="84"/>
        <v/>
      </c>
      <c r="Y72" s="84" t="str">
        <f t="shared" si="85"/>
        <v/>
      </c>
      <c r="Z72" s="84" t="str">
        <f t="shared" si="86"/>
        <v/>
      </c>
      <c r="AA72" s="84" t="str">
        <f t="shared" si="87"/>
        <v/>
      </c>
      <c r="AB72" s="84" t="str">
        <f t="shared" si="88"/>
        <v/>
      </c>
      <c r="AC72" s="84" t="str">
        <f t="shared" si="89"/>
        <v/>
      </c>
      <c r="AD72" s="84" t="str">
        <f t="shared" si="90"/>
        <v/>
      </c>
      <c r="AE72" s="84">
        <f t="shared" si="91"/>
        <v>171.99928</v>
      </c>
      <c r="AF72" s="84" t="str">
        <f t="shared" si="92"/>
        <v/>
      </c>
      <c r="AG72" s="84" t="str">
        <f t="shared" si="93"/>
        <v/>
      </c>
      <c r="AH72" s="84" t="str">
        <f t="shared" si="94"/>
        <v/>
      </c>
      <c r="AI72" s="84" t="str">
        <f t="shared" si="95"/>
        <v/>
      </c>
      <c r="AJ72" s="84" t="str">
        <f t="shared" si="96"/>
        <v/>
      </c>
      <c r="AK72" s="84">
        <f t="shared" si="97"/>
        <v>171.99928</v>
      </c>
      <c r="AL72" s="84" t="str">
        <f t="shared" si="98"/>
        <v/>
      </c>
      <c r="AM72" s="84" t="str">
        <f t="shared" si="99"/>
        <v/>
      </c>
      <c r="AN72" s="84" t="str">
        <f t="shared" si="100"/>
        <v/>
      </c>
      <c r="AO72" s="84" t="str">
        <f t="shared" si="101"/>
        <v/>
      </c>
      <c r="AP72" s="84" t="str">
        <f t="shared" si="102"/>
        <v/>
      </c>
      <c r="AQ72" s="84">
        <f t="shared" si="103"/>
        <v>171.99928</v>
      </c>
      <c r="AR72" s="84" t="str">
        <f t="shared" si="104"/>
        <v/>
      </c>
      <c r="AS72" s="84" t="str">
        <f t="shared" si="105"/>
        <v/>
      </c>
      <c r="AT72" s="84" t="str">
        <f t="shared" si="106"/>
        <v/>
      </c>
      <c r="AU72" s="84" t="str">
        <f t="shared" si="107"/>
        <v/>
      </c>
    </row>
    <row r="73" spans="1:47" ht="19" customHeight="1" x14ac:dyDescent="0.3">
      <c r="A73" s="67" t="s">
        <v>90</v>
      </c>
      <c r="B73" s="67"/>
      <c r="C73" s="67"/>
      <c r="D73" s="89">
        <f>持有情况!BE58-ROW()*0.00001</f>
        <v>145.99927</v>
      </c>
      <c r="E73" s="90">
        <v>0</v>
      </c>
      <c r="F73" s="90">
        <v>0</v>
      </c>
      <c r="G73" s="89">
        <v>3</v>
      </c>
      <c r="H73" s="89">
        <v>1</v>
      </c>
      <c r="I73" s="84" t="s">
        <v>325</v>
      </c>
      <c r="J73" s="89">
        <f>IF(路线!C6="计算",INT(45+3*(路线!B28+路线!B29)+13*路线!B18+30+20)-ROW()*0.00001,INT(45+3*(路线!B28+路线!B29)+13*路线!B18+30)-ROW()*0.00001)</f>
        <v>145.99927</v>
      </c>
      <c r="K73" s="1"/>
      <c r="L73" s="84" t="str">
        <f t="shared" si="72"/>
        <v/>
      </c>
      <c r="M73" s="84" t="str">
        <f t="shared" si="73"/>
        <v/>
      </c>
      <c r="N73" s="84" t="str">
        <f t="shared" si="74"/>
        <v/>
      </c>
      <c r="O73" s="84" t="str">
        <f t="shared" si="75"/>
        <v/>
      </c>
      <c r="P73" s="84" t="str">
        <f t="shared" si="76"/>
        <v/>
      </c>
      <c r="Q73" s="84" t="str">
        <f t="shared" si="77"/>
        <v/>
      </c>
      <c r="R73" s="84">
        <f t="shared" si="78"/>
        <v>145.99927</v>
      </c>
      <c r="S73" s="84">
        <f t="shared" si="79"/>
        <v>145.99927</v>
      </c>
      <c r="T73" s="84">
        <f t="shared" si="80"/>
        <v>145.99927</v>
      </c>
      <c r="U73" s="84" t="str">
        <f t="shared" si="81"/>
        <v/>
      </c>
      <c r="V73" s="84" t="str">
        <f t="shared" si="82"/>
        <v/>
      </c>
      <c r="W73" s="84" t="str">
        <f t="shared" si="83"/>
        <v/>
      </c>
      <c r="X73" s="84" t="str">
        <f t="shared" si="84"/>
        <v/>
      </c>
      <c r="Y73" s="84" t="str">
        <f t="shared" si="85"/>
        <v/>
      </c>
      <c r="Z73" s="84" t="str">
        <f t="shared" si="86"/>
        <v/>
      </c>
      <c r="AA73" s="84" t="str">
        <f t="shared" si="87"/>
        <v/>
      </c>
      <c r="AB73" s="84" t="str">
        <f t="shared" si="88"/>
        <v/>
      </c>
      <c r="AC73" s="84" t="str">
        <f t="shared" si="89"/>
        <v/>
      </c>
      <c r="AD73" s="84" t="str">
        <f t="shared" si="90"/>
        <v/>
      </c>
      <c r="AE73" s="84" t="str">
        <f t="shared" si="91"/>
        <v/>
      </c>
      <c r="AF73" s="84">
        <f t="shared" si="92"/>
        <v>145.99927</v>
      </c>
      <c r="AG73" s="84" t="str">
        <f t="shared" si="93"/>
        <v/>
      </c>
      <c r="AH73" s="84" t="str">
        <f t="shared" si="94"/>
        <v/>
      </c>
      <c r="AI73" s="84" t="str">
        <f t="shared" si="95"/>
        <v/>
      </c>
      <c r="AJ73" s="84" t="str">
        <f t="shared" si="96"/>
        <v/>
      </c>
      <c r="AK73" s="84" t="str">
        <f t="shared" si="97"/>
        <v/>
      </c>
      <c r="AL73" s="84">
        <f t="shared" si="98"/>
        <v>145.99927</v>
      </c>
      <c r="AM73" s="84" t="str">
        <f t="shared" si="99"/>
        <v/>
      </c>
      <c r="AN73" s="84" t="str">
        <f t="shared" si="100"/>
        <v/>
      </c>
      <c r="AO73" s="84" t="str">
        <f t="shared" si="101"/>
        <v/>
      </c>
      <c r="AP73" s="84" t="str">
        <f t="shared" si="102"/>
        <v/>
      </c>
      <c r="AQ73" s="84" t="str">
        <f t="shared" si="103"/>
        <v/>
      </c>
      <c r="AR73" s="84">
        <f t="shared" si="104"/>
        <v>145.99927</v>
      </c>
      <c r="AS73" s="84" t="str">
        <f t="shared" si="105"/>
        <v/>
      </c>
      <c r="AT73" s="84" t="str">
        <f t="shared" si="106"/>
        <v/>
      </c>
      <c r="AU73" s="84" t="str">
        <f t="shared" si="107"/>
        <v/>
      </c>
    </row>
    <row r="74" spans="1:47" ht="19" customHeight="1" x14ac:dyDescent="0.3">
      <c r="A74" s="67" t="s">
        <v>69</v>
      </c>
      <c r="B74" s="67"/>
      <c r="C74" s="67"/>
      <c r="D74" s="89">
        <f>持有情况!BE40-ROW()*0.00001</f>
        <v>106.99926000000001</v>
      </c>
      <c r="E74" s="89">
        <v>1</v>
      </c>
      <c r="F74" s="90">
        <v>0</v>
      </c>
      <c r="G74" s="89">
        <v>3</v>
      </c>
      <c r="H74" s="89">
        <v>1</v>
      </c>
      <c r="I74" s="84" t="s">
        <v>326</v>
      </c>
      <c r="J74" s="89">
        <f>IF(路线!C6="计算",INT(45+10*路线!B31+4*路线!B17+30+20)-ROW()*0.00001,INT(45+10*路线!B31+4*路线!B17+30)-ROW()*0.00001)</f>
        <v>106.99926000000001</v>
      </c>
      <c r="K74" s="1"/>
      <c r="L74" s="84" t="str">
        <f t="shared" si="72"/>
        <v/>
      </c>
      <c r="M74" s="84" t="str">
        <f t="shared" si="73"/>
        <v/>
      </c>
      <c r="N74" s="84" t="str">
        <f t="shared" si="74"/>
        <v/>
      </c>
      <c r="O74" s="84" t="str">
        <f t="shared" si="75"/>
        <v/>
      </c>
      <c r="P74" s="84" t="str">
        <f t="shared" si="76"/>
        <v/>
      </c>
      <c r="Q74" s="84" t="str">
        <f t="shared" si="77"/>
        <v/>
      </c>
      <c r="R74" s="84">
        <f t="shared" si="78"/>
        <v>106.99926000000001</v>
      </c>
      <c r="S74" s="84" t="str">
        <f t="shared" si="79"/>
        <v/>
      </c>
      <c r="T74" s="84" t="str">
        <f t="shared" si="80"/>
        <v/>
      </c>
      <c r="U74" s="84" t="str">
        <f t="shared" si="81"/>
        <v/>
      </c>
      <c r="V74" s="84" t="str">
        <f t="shared" si="82"/>
        <v/>
      </c>
      <c r="W74" s="84" t="str">
        <f t="shared" si="83"/>
        <v/>
      </c>
      <c r="X74" s="84" t="str">
        <f t="shared" si="84"/>
        <v/>
      </c>
      <c r="Y74" s="84" t="str">
        <f t="shared" si="85"/>
        <v/>
      </c>
      <c r="Z74" s="84" t="str">
        <f t="shared" si="86"/>
        <v/>
      </c>
      <c r="AA74" s="84" t="str">
        <f t="shared" si="87"/>
        <v/>
      </c>
      <c r="AB74" s="84" t="str">
        <f t="shared" si="88"/>
        <v/>
      </c>
      <c r="AC74" s="84" t="str">
        <f t="shared" si="89"/>
        <v/>
      </c>
      <c r="AD74" s="84" t="str">
        <f t="shared" si="90"/>
        <v/>
      </c>
      <c r="AE74" s="84" t="str">
        <f t="shared" si="91"/>
        <v/>
      </c>
      <c r="AF74" s="84">
        <f t="shared" si="92"/>
        <v>106.99926000000001</v>
      </c>
      <c r="AG74" s="84" t="str">
        <f t="shared" si="93"/>
        <v/>
      </c>
      <c r="AH74" s="84" t="str">
        <f t="shared" si="94"/>
        <v/>
      </c>
      <c r="AI74" s="84" t="str">
        <f t="shared" si="95"/>
        <v/>
      </c>
      <c r="AJ74" s="84" t="str">
        <f t="shared" si="96"/>
        <v/>
      </c>
      <c r="AK74" s="84" t="str">
        <f t="shared" si="97"/>
        <v/>
      </c>
      <c r="AL74" s="84" t="str">
        <f t="shared" si="98"/>
        <v/>
      </c>
      <c r="AM74" s="84" t="str">
        <f t="shared" si="99"/>
        <v/>
      </c>
      <c r="AN74" s="84" t="str">
        <f t="shared" si="100"/>
        <v/>
      </c>
      <c r="AO74" s="84" t="str">
        <f t="shared" si="101"/>
        <v/>
      </c>
      <c r="AP74" s="84" t="str">
        <f t="shared" si="102"/>
        <v/>
      </c>
      <c r="AQ74" s="84" t="str">
        <f t="shared" si="103"/>
        <v/>
      </c>
      <c r="AR74" s="84" t="str">
        <f t="shared" si="104"/>
        <v/>
      </c>
      <c r="AS74" s="84" t="str">
        <f t="shared" si="105"/>
        <v/>
      </c>
      <c r="AT74" s="84" t="str">
        <f t="shared" si="106"/>
        <v/>
      </c>
      <c r="AU74" s="84" t="str">
        <f t="shared" si="107"/>
        <v/>
      </c>
    </row>
    <row r="75" spans="1:47" ht="19" customHeight="1" x14ac:dyDescent="0.3">
      <c r="A75" s="57" t="s">
        <v>3</v>
      </c>
      <c r="B75" s="57"/>
      <c r="C75" s="57"/>
      <c r="D75" s="89">
        <f>持有情况!AK4-ROW()*0.00001</f>
        <v>86.999250000000004</v>
      </c>
      <c r="E75" s="90">
        <v>0</v>
      </c>
      <c r="F75" s="90">
        <v>0</v>
      </c>
      <c r="G75" s="89">
        <v>1</v>
      </c>
      <c r="H75" s="90">
        <v>0</v>
      </c>
      <c r="I75" s="1"/>
      <c r="J75" s="89">
        <f>INT(45+10*路线!B31+3*(路线!B28+路线!B29)+30)-ROW()*0.00001</f>
        <v>86.999250000000004</v>
      </c>
      <c r="K75" s="1"/>
      <c r="L75" s="84">
        <f t="shared" si="72"/>
        <v>86.999250000000004</v>
      </c>
      <c r="M75" s="84">
        <f t="shared" si="73"/>
        <v>86.999250000000004</v>
      </c>
      <c r="N75" s="84">
        <f t="shared" si="74"/>
        <v>86.999250000000004</v>
      </c>
      <c r="O75" s="84" t="str">
        <f t="shared" si="75"/>
        <v/>
      </c>
      <c r="P75" s="84" t="str">
        <f t="shared" si="76"/>
        <v/>
      </c>
      <c r="Q75" s="84" t="str">
        <f t="shared" si="77"/>
        <v/>
      </c>
      <c r="R75" s="84" t="str">
        <f t="shared" si="78"/>
        <v/>
      </c>
      <c r="S75" s="84" t="str">
        <f t="shared" si="79"/>
        <v/>
      </c>
      <c r="T75" s="84" t="str">
        <f t="shared" si="80"/>
        <v/>
      </c>
      <c r="U75" s="84" t="str">
        <f t="shared" si="81"/>
        <v/>
      </c>
      <c r="V75" s="84" t="str">
        <f t="shared" si="82"/>
        <v/>
      </c>
      <c r="W75" s="84" t="str">
        <f t="shared" si="83"/>
        <v/>
      </c>
      <c r="X75" s="84" t="str">
        <f t="shared" si="84"/>
        <v/>
      </c>
      <c r="Y75" s="84" t="str">
        <f t="shared" si="85"/>
        <v/>
      </c>
      <c r="Z75" s="84" t="str">
        <f t="shared" si="86"/>
        <v/>
      </c>
      <c r="AA75" s="84" t="str">
        <f t="shared" si="87"/>
        <v/>
      </c>
      <c r="AB75" s="84" t="str">
        <f t="shared" si="88"/>
        <v/>
      </c>
      <c r="AC75" s="84" t="str">
        <f t="shared" si="89"/>
        <v/>
      </c>
      <c r="AD75" s="84">
        <f t="shared" si="90"/>
        <v>86.999250000000004</v>
      </c>
      <c r="AE75" s="84" t="str">
        <f t="shared" si="91"/>
        <v/>
      </c>
      <c r="AF75" s="84" t="str">
        <f t="shared" si="92"/>
        <v/>
      </c>
      <c r="AG75" s="84" t="str">
        <f t="shared" si="93"/>
        <v/>
      </c>
      <c r="AH75" s="84" t="str">
        <f t="shared" si="94"/>
        <v/>
      </c>
      <c r="AI75" s="84" t="str">
        <f t="shared" si="95"/>
        <v/>
      </c>
      <c r="AJ75" s="84">
        <f t="shared" si="96"/>
        <v>86.999250000000004</v>
      </c>
      <c r="AK75" s="84" t="str">
        <f t="shared" si="97"/>
        <v/>
      </c>
      <c r="AL75" s="84" t="str">
        <f t="shared" si="98"/>
        <v/>
      </c>
      <c r="AM75" s="84" t="str">
        <f t="shared" si="99"/>
        <v/>
      </c>
      <c r="AN75" s="84" t="str">
        <f t="shared" si="100"/>
        <v/>
      </c>
      <c r="AO75" s="84" t="str">
        <f t="shared" si="101"/>
        <v/>
      </c>
      <c r="AP75" s="84">
        <f t="shared" si="102"/>
        <v>86.999250000000004</v>
      </c>
      <c r="AQ75" s="84" t="str">
        <f t="shared" si="103"/>
        <v/>
      </c>
      <c r="AR75" s="84" t="str">
        <f t="shared" si="104"/>
        <v/>
      </c>
      <c r="AS75" s="84" t="str">
        <f t="shared" si="105"/>
        <v/>
      </c>
      <c r="AT75" s="84" t="str">
        <f t="shared" si="106"/>
        <v/>
      </c>
      <c r="AU75" s="84" t="str">
        <f t="shared" si="107"/>
        <v/>
      </c>
    </row>
    <row r="76" spans="1:47" ht="19" customHeight="1" x14ac:dyDescent="0.3">
      <c r="A76" s="57" t="s">
        <v>73</v>
      </c>
      <c r="B76" s="57"/>
      <c r="C76" s="57"/>
      <c r="D76" s="89">
        <f>IF(路线!B4="计算",持有情况!AM47,持有情况!AK46)-ROW()*0.00001</f>
        <v>176.99923999999999</v>
      </c>
      <c r="E76" s="89">
        <v>1</v>
      </c>
      <c r="F76" s="90">
        <v>0</v>
      </c>
      <c r="G76" s="89">
        <v>1</v>
      </c>
      <c r="H76" s="90">
        <v>0</v>
      </c>
      <c r="I76" s="1"/>
      <c r="J76" s="89">
        <f>IF(路线!B4="计算",INT((6.4/100)*路线!B12+8*路线!B33+4*路线!B17+30+持有情况!AM45),INT((6.4/100)*路线!B12+8*路线!B33+4*路线!B17+30))-ROW()*0.00001</f>
        <v>176.99923999999999</v>
      </c>
      <c r="K76" s="1"/>
      <c r="L76" s="84">
        <f t="shared" si="72"/>
        <v>176.99923999999999</v>
      </c>
      <c r="M76" s="84" t="str">
        <f t="shared" si="73"/>
        <v/>
      </c>
      <c r="N76" s="84" t="str">
        <f t="shared" si="74"/>
        <v/>
      </c>
      <c r="O76" s="84" t="str">
        <f t="shared" si="75"/>
        <v/>
      </c>
      <c r="P76" s="84" t="str">
        <f t="shared" si="76"/>
        <v/>
      </c>
      <c r="Q76" s="84" t="str">
        <f t="shared" si="77"/>
        <v/>
      </c>
      <c r="R76" s="84" t="str">
        <f t="shared" si="78"/>
        <v/>
      </c>
      <c r="S76" s="84" t="str">
        <f t="shared" si="79"/>
        <v/>
      </c>
      <c r="T76" s="84" t="str">
        <f t="shared" si="80"/>
        <v/>
      </c>
      <c r="U76" s="84" t="str">
        <f t="shared" si="81"/>
        <v/>
      </c>
      <c r="V76" s="84" t="str">
        <f t="shared" si="82"/>
        <v/>
      </c>
      <c r="W76" s="84" t="str">
        <f t="shared" si="83"/>
        <v/>
      </c>
      <c r="X76" s="84" t="str">
        <f t="shared" si="84"/>
        <v/>
      </c>
      <c r="Y76" s="84" t="str">
        <f t="shared" si="85"/>
        <v/>
      </c>
      <c r="Z76" s="84" t="str">
        <f t="shared" si="86"/>
        <v/>
      </c>
      <c r="AA76" s="84" t="str">
        <f t="shared" si="87"/>
        <v/>
      </c>
      <c r="AB76" s="84" t="str">
        <f t="shared" si="88"/>
        <v/>
      </c>
      <c r="AC76" s="84" t="str">
        <f t="shared" si="89"/>
        <v/>
      </c>
      <c r="AD76" s="84">
        <f t="shared" si="90"/>
        <v>176.99923999999999</v>
      </c>
      <c r="AE76" s="84" t="str">
        <f t="shared" si="91"/>
        <v/>
      </c>
      <c r="AF76" s="84" t="str">
        <f t="shared" si="92"/>
        <v/>
      </c>
      <c r="AG76" s="84" t="str">
        <f t="shared" si="93"/>
        <v/>
      </c>
      <c r="AH76" s="84" t="str">
        <f t="shared" si="94"/>
        <v/>
      </c>
      <c r="AI76" s="84" t="str">
        <f t="shared" si="95"/>
        <v/>
      </c>
      <c r="AJ76" s="84" t="str">
        <f t="shared" si="96"/>
        <v/>
      </c>
      <c r="AK76" s="84" t="str">
        <f t="shared" si="97"/>
        <v/>
      </c>
      <c r="AL76" s="84" t="str">
        <f t="shared" si="98"/>
        <v/>
      </c>
      <c r="AM76" s="84" t="str">
        <f t="shared" si="99"/>
        <v/>
      </c>
      <c r="AN76" s="84" t="str">
        <f t="shared" si="100"/>
        <v/>
      </c>
      <c r="AO76" s="84" t="str">
        <f t="shared" si="101"/>
        <v/>
      </c>
      <c r="AP76" s="84" t="str">
        <f t="shared" si="102"/>
        <v/>
      </c>
      <c r="AQ76" s="84" t="str">
        <f t="shared" si="103"/>
        <v/>
      </c>
      <c r="AR76" s="84" t="str">
        <f t="shared" si="104"/>
        <v/>
      </c>
      <c r="AS76" s="84" t="str">
        <f t="shared" si="105"/>
        <v/>
      </c>
      <c r="AT76" s="84" t="str">
        <f t="shared" si="106"/>
        <v/>
      </c>
      <c r="AU76" s="84" t="str">
        <f t="shared" si="107"/>
        <v/>
      </c>
    </row>
    <row r="77" spans="1:47" ht="19" customHeight="1" x14ac:dyDescent="0.3">
      <c r="A77" s="75" t="s">
        <v>49</v>
      </c>
      <c r="B77" s="75"/>
      <c r="C77" s="75"/>
      <c r="D77" s="89">
        <f>持有情况!Q28-ROW()*0.00001</f>
        <v>183.99923000000001</v>
      </c>
      <c r="E77" s="90">
        <v>0</v>
      </c>
      <c r="F77" s="90">
        <v>0</v>
      </c>
      <c r="G77" s="89">
        <v>2</v>
      </c>
      <c r="H77" s="89">
        <v>1</v>
      </c>
      <c r="I77" s="84" t="s">
        <v>327</v>
      </c>
      <c r="J77" s="89">
        <f>INT((8.5/100)*路线!B12+17*路线!B34+3*路线!B24+40)-ROW()*0.00001</f>
        <v>183.99923000000001</v>
      </c>
      <c r="K77" s="1"/>
      <c r="L77" s="84" t="str">
        <f t="shared" si="72"/>
        <v/>
      </c>
      <c r="M77" s="84" t="str">
        <f t="shared" si="73"/>
        <v/>
      </c>
      <c r="N77" s="84" t="str">
        <f t="shared" si="74"/>
        <v/>
      </c>
      <c r="O77" s="84">
        <f t="shared" si="75"/>
        <v>183.99923000000001</v>
      </c>
      <c r="P77" s="84">
        <f t="shared" si="76"/>
        <v>183.99923000000001</v>
      </c>
      <c r="Q77" s="84">
        <f t="shared" si="77"/>
        <v>183.99923000000001</v>
      </c>
      <c r="R77" s="84" t="str">
        <f t="shared" si="78"/>
        <v/>
      </c>
      <c r="S77" s="84" t="str">
        <f t="shared" si="79"/>
        <v/>
      </c>
      <c r="T77" s="84" t="str">
        <f t="shared" si="80"/>
        <v/>
      </c>
      <c r="U77" s="84" t="str">
        <f t="shared" si="81"/>
        <v/>
      </c>
      <c r="V77" s="84" t="str">
        <f t="shared" si="82"/>
        <v/>
      </c>
      <c r="W77" s="84" t="str">
        <f t="shared" si="83"/>
        <v/>
      </c>
      <c r="X77" s="84" t="str">
        <f t="shared" si="84"/>
        <v/>
      </c>
      <c r="Y77" s="84" t="str">
        <f t="shared" si="85"/>
        <v/>
      </c>
      <c r="Z77" s="84" t="str">
        <f t="shared" si="86"/>
        <v/>
      </c>
      <c r="AA77" s="84" t="str">
        <f t="shared" si="87"/>
        <v/>
      </c>
      <c r="AB77" s="84" t="str">
        <f t="shared" si="88"/>
        <v/>
      </c>
      <c r="AC77" s="84" t="str">
        <f t="shared" si="89"/>
        <v/>
      </c>
      <c r="AD77" s="84" t="str">
        <f t="shared" si="90"/>
        <v/>
      </c>
      <c r="AE77" s="84">
        <f t="shared" si="91"/>
        <v>183.99923000000001</v>
      </c>
      <c r="AF77" s="84" t="str">
        <f t="shared" si="92"/>
        <v/>
      </c>
      <c r="AG77" s="84" t="str">
        <f t="shared" si="93"/>
        <v/>
      </c>
      <c r="AH77" s="84" t="str">
        <f t="shared" si="94"/>
        <v/>
      </c>
      <c r="AI77" s="84" t="str">
        <f t="shared" si="95"/>
        <v/>
      </c>
      <c r="AJ77" s="84" t="str">
        <f t="shared" si="96"/>
        <v/>
      </c>
      <c r="AK77" s="84">
        <f t="shared" si="97"/>
        <v>183.99923000000001</v>
      </c>
      <c r="AL77" s="84" t="str">
        <f t="shared" si="98"/>
        <v/>
      </c>
      <c r="AM77" s="84" t="str">
        <f t="shared" si="99"/>
        <v/>
      </c>
      <c r="AN77" s="84" t="str">
        <f t="shared" si="100"/>
        <v/>
      </c>
      <c r="AO77" s="84" t="str">
        <f t="shared" si="101"/>
        <v/>
      </c>
      <c r="AP77" s="84" t="str">
        <f t="shared" si="102"/>
        <v/>
      </c>
      <c r="AQ77" s="84">
        <f t="shared" si="103"/>
        <v>183.99923000000001</v>
      </c>
      <c r="AR77" s="84" t="str">
        <f t="shared" si="104"/>
        <v/>
      </c>
      <c r="AS77" s="84" t="str">
        <f t="shared" si="105"/>
        <v/>
      </c>
      <c r="AT77" s="84" t="str">
        <f t="shared" si="106"/>
        <v/>
      </c>
      <c r="AU77" s="84" t="str">
        <f t="shared" si="107"/>
        <v/>
      </c>
    </row>
    <row r="78" spans="1:47" ht="19" customHeight="1" x14ac:dyDescent="0.3">
      <c r="A78" s="75" t="s">
        <v>24</v>
      </c>
      <c r="B78" s="75"/>
      <c r="C78" s="75"/>
      <c r="D78" s="89">
        <f>持有情况!Q10-ROW()*0.00001</f>
        <v>181.99922000000001</v>
      </c>
      <c r="E78" s="90">
        <v>0</v>
      </c>
      <c r="F78" s="90">
        <v>0</v>
      </c>
      <c r="G78" s="89">
        <v>2</v>
      </c>
      <c r="H78" s="89">
        <v>1</v>
      </c>
      <c r="I78" s="84" t="s">
        <v>328</v>
      </c>
      <c r="J78" s="89">
        <f>IF(路线!C6="计算",INT(60+6*路线!B17+11*路线!B33+40+20)-ROW()*0.00001,INT(60+6*路线!B17+11*路线!B33+40)-ROW()*0.00001)</f>
        <v>181.99922000000001</v>
      </c>
      <c r="K78" s="1"/>
      <c r="L78" s="84" t="str">
        <f t="shared" si="72"/>
        <v/>
      </c>
      <c r="M78" s="84" t="str">
        <f t="shared" si="73"/>
        <v/>
      </c>
      <c r="N78" s="84" t="str">
        <f t="shared" si="74"/>
        <v/>
      </c>
      <c r="O78" s="84">
        <f t="shared" si="75"/>
        <v>181.99922000000001</v>
      </c>
      <c r="P78" s="84">
        <f t="shared" si="76"/>
        <v>181.99922000000001</v>
      </c>
      <c r="Q78" s="84">
        <f t="shared" si="77"/>
        <v>181.99922000000001</v>
      </c>
      <c r="R78" s="84" t="str">
        <f t="shared" si="78"/>
        <v/>
      </c>
      <c r="S78" s="84" t="str">
        <f t="shared" si="79"/>
        <v/>
      </c>
      <c r="T78" s="84" t="str">
        <f t="shared" si="80"/>
        <v/>
      </c>
      <c r="U78" s="84" t="str">
        <f t="shared" si="81"/>
        <v/>
      </c>
      <c r="V78" s="84" t="str">
        <f t="shared" si="82"/>
        <v/>
      </c>
      <c r="W78" s="84" t="str">
        <f t="shared" si="83"/>
        <v/>
      </c>
      <c r="X78" s="84" t="str">
        <f t="shared" si="84"/>
        <v/>
      </c>
      <c r="Y78" s="84" t="str">
        <f t="shared" si="85"/>
        <v/>
      </c>
      <c r="Z78" s="84" t="str">
        <f t="shared" si="86"/>
        <v/>
      </c>
      <c r="AA78" s="84" t="str">
        <f t="shared" si="87"/>
        <v/>
      </c>
      <c r="AB78" s="84" t="str">
        <f t="shared" si="88"/>
        <v/>
      </c>
      <c r="AC78" s="84" t="str">
        <f t="shared" si="89"/>
        <v/>
      </c>
      <c r="AD78" s="84" t="str">
        <f t="shared" si="90"/>
        <v/>
      </c>
      <c r="AE78" s="84">
        <f t="shared" si="91"/>
        <v>181.99922000000001</v>
      </c>
      <c r="AF78" s="84" t="str">
        <f t="shared" si="92"/>
        <v/>
      </c>
      <c r="AG78" s="84" t="str">
        <f t="shared" si="93"/>
        <v/>
      </c>
      <c r="AH78" s="84" t="str">
        <f t="shared" si="94"/>
        <v/>
      </c>
      <c r="AI78" s="84" t="str">
        <f t="shared" si="95"/>
        <v/>
      </c>
      <c r="AJ78" s="84" t="str">
        <f t="shared" si="96"/>
        <v/>
      </c>
      <c r="AK78" s="84">
        <f t="shared" si="97"/>
        <v>181.99922000000001</v>
      </c>
      <c r="AL78" s="84" t="str">
        <f t="shared" si="98"/>
        <v/>
      </c>
      <c r="AM78" s="84" t="str">
        <f t="shared" si="99"/>
        <v/>
      </c>
      <c r="AN78" s="84" t="str">
        <f t="shared" si="100"/>
        <v/>
      </c>
      <c r="AO78" s="84" t="str">
        <f t="shared" si="101"/>
        <v/>
      </c>
      <c r="AP78" s="84" t="str">
        <f t="shared" si="102"/>
        <v/>
      </c>
      <c r="AQ78" s="84">
        <f t="shared" si="103"/>
        <v>181.99922000000001</v>
      </c>
      <c r="AR78" s="84" t="str">
        <f t="shared" si="104"/>
        <v/>
      </c>
      <c r="AS78" s="84" t="str">
        <f t="shared" si="105"/>
        <v/>
      </c>
      <c r="AT78" s="84" t="str">
        <f t="shared" si="106"/>
        <v/>
      </c>
      <c r="AU78" s="84" t="str">
        <f t="shared" si="107"/>
        <v/>
      </c>
    </row>
    <row r="79" spans="1:47" ht="19" customHeight="1" x14ac:dyDescent="0.3">
      <c r="A79" s="67" t="s">
        <v>122</v>
      </c>
      <c r="B79" s="67"/>
      <c r="C79" s="67"/>
      <c r="D79" s="89">
        <f>持有情况!AA88-ROW()*0.00001</f>
        <v>179.99921000000001</v>
      </c>
      <c r="E79" s="89">
        <v>2</v>
      </c>
      <c r="F79" s="89">
        <v>1</v>
      </c>
      <c r="G79" s="89">
        <v>3</v>
      </c>
      <c r="H79" s="89">
        <v>1</v>
      </c>
      <c r="I79" s="84" t="s">
        <v>329</v>
      </c>
      <c r="J79" s="89">
        <f>INT(60+3*路线!B24+11*路线!B33+40)-ROW()*0.00001</f>
        <v>179.99921000000001</v>
      </c>
      <c r="K79" s="1"/>
      <c r="L79" s="84" t="str">
        <f t="shared" si="72"/>
        <v/>
      </c>
      <c r="M79" s="84" t="str">
        <f t="shared" si="73"/>
        <v/>
      </c>
      <c r="N79" s="84" t="str">
        <f t="shared" si="74"/>
        <v/>
      </c>
      <c r="O79" s="84" t="str">
        <f t="shared" si="75"/>
        <v/>
      </c>
      <c r="P79" s="84" t="str">
        <f t="shared" si="76"/>
        <v/>
      </c>
      <c r="Q79" s="84" t="str">
        <f t="shared" si="77"/>
        <v/>
      </c>
      <c r="R79" s="84" t="str">
        <f t="shared" si="78"/>
        <v/>
      </c>
      <c r="S79" s="84">
        <f t="shared" si="79"/>
        <v>179.99921000000001</v>
      </c>
      <c r="T79" s="84" t="str">
        <f t="shared" si="80"/>
        <v/>
      </c>
      <c r="U79" s="84" t="str">
        <f t="shared" si="81"/>
        <v/>
      </c>
      <c r="V79" s="84" t="str">
        <f t="shared" si="82"/>
        <v/>
      </c>
      <c r="W79" s="84" t="str">
        <f t="shared" si="83"/>
        <v/>
      </c>
      <c r="X79" s="84" t="str">
        <f t="shared" si="84"/>
        <v/>
      </c>
      <c r="Y79" s="84" t="str">
        <f t="shared" si="85"/>
        <v/>
      </c>
      <c r="Z79" s="84">
        <f t="shared" si="86"/>
        <v>179.99921000000001</v>
      </c>
      <c r="AA79" s="84" t="str">
        <f t="shared" si="87"/>
        <v/>
      </c>
      <c r="AB79" s="84" t="str">
        <f t="shared" si="88"/>
        <v/>
      </c>
      <c r="AC79" s="84" t="str">
        <f t="shared" si="89"/>
        <v/>
      </c>
      <c r="AD79" s="84" t="str">
        <f t="shared" si="90"/>
        <v/>
      </c>
      <c r="AE79" s="84" t="str">
        <f t="shared" si="91"/>
        <v/>
      </c>
      <c r="AF79" s="84" t="str">
        <f t="shared" si="92"/>
        <v/>
      </c>
      <c r="AG79" s="84" t="str">
        <f t="shared" si="93"/>
        <v/>
      </c>
      <c r="AH79" s="84" t="str">
        <f t="shared" si="94"/>
        <v/>
      </c>
      <c r="AI79" s="84" t="str">
        <f t="shared" si="95"/>
        <v/>
      </c>
      <c r="AJ79" s="84" t="str">
        <f t="shared" si="96"/>
        <v/>
      </c>
      <c r="AK79" s="84" t="str">
        <f t="shared" si="97"/>
        <v/>
      </c>
      <c r="AL79" s="84" t="str">
        <f t="shared" si="98"/>
        <v/>
      </c>
      <c r="AM79" s="84" t="str">
        <f t="shared" si="99"/>
        <v/>
      </c>
      <c r="AN79" s="84" t="str">
        <f t="shared" si="100"/>
        <v/>
      </c>
      <c r="AO79" s="84">
        <f t="shared" si="101"/>
        <v>179.99921000000001</v>
      </c>
      <c r="AP79" s="84" t="str">
        <f t="shared" si="102"/>
        <v/>
      </c>
      <c r="AQ79" s="84" t="str">
        <f t="shared" si="103"/>
        <v/>
      </c>
      <c r="AR79" s="84" t="str">
        <f t="shared" si="104"/>
        <v/>
      </c>
      <c r="AS79" s="84" t="str">
        <f t="shared" si="105"/>
        <v/>
      </c>
      <c r="AT79" s="84" t="str">
        <f t="shared" si="106"/>
        <v/>
      </c>
      <c r="AU79" s="84" t="str">
        <f t="shared" si="107"/>
        <v/>
      </c>
    </row>
    <row r="80" spans="1:47" ht="19" customHeight="1" x14ac:dyDescent="0.3">
      <c r="A80" s="67" t="s">
        <v>65</v>
      </c>
      <c r="B80" s="67"/>
      <c r="C80" s="67"/>
      <c r="D80" s="89">
        <f>持有情况!AA40-ROW()*0.00001</f>
        <v>148.9992</v>
      </c>
      <c r="E80" s="90">
        <v>0</v>
      </c>
      <c r="F80" s="89">
        <v>1</v>
      </c>
      <c r="G80" s="89">
        <v>3</v>
      </c>
      <c r="H80" s="89">
        <v>1</v>
      </c>
      <c r="I80" s="84" t="s">
        <v>330</v>
      </c>
      <c r="J80" s="89">
        <f>IF(路线!C6="计算",INT(60+4*路线!B17+17+40+20)-ROW()*0.00001,INT(60+4*路线!B17+17+40)-ROW()*0.00001)</f>
        <v>148.9992</v>
      </c>
      <c r="K80" s="1"/>
      <c r="L80" s="84" t="str">
        <f t="shared" si="72"/>
        <v/>
      </c>
      <c r="M80" s="84" t="str">
        <f t="shared" si="73"/>
        <v/>
      </c>
      <c r="N80" s="84" t="str">
        <f t="shared" si="74"/>
        <v/>
      </c>
      <c r="O80" s="84" t="str">
        <f t="shared" si="75"/>
        <v/>
      </c>
      <c r="P80" s="84" t="str">
        <f t="shared" si="76"/>
        <v/>
      </c>
      <c r="Q80" s="84" t="str">
        <f t="shared" si="77"/>
        <v/>
      </c>
      <c r="R80" s="84">
        <f t="shared" si="78"/>
        <v>148.9992</v>
      </c>
      <c r="S80" s="84">
        <f t="shared" si="79"/>
        <v>148.9992</v>
      </c>
      <c r="T80" s="84">
        <f t="shared" si="80"/>
        <v>148.9992</v>
      </c>
      <c r="U80" s="84" t="str">
        <f t="shared" si="81"/>
        <v/>
      </c>
      <c r="V80" s="84" t="str">
        <f t="shared" si="82"/>
        <v/>
      </c>
      <c r="W80" s="84">
        <f t="shared" si="83"/>
        <v>148.9992</v>
      </c>
      <c r="X80" s="84" t="str">
        <f t="shared" si="84"/>
        <v/>
      </c>
      <c r="Y80" s="84" t="str">
        <f t="shared" si="85"/>
        <v/>
      </c>
      <c r="Z80" s="84">
        <f t="shared" si="86"/>
        <v>148.9992</v>
      </c>
      <c r="AA80" s="84" t="str">
        <f t="shared" si="87"/>
        <v/>
      </c>
      <c r="AB80" s="84" t="str">
        <f t="shared" si="88"/>
        <v/>
      </c>
      <c r="AC80" s="84">
        <f t="shared" si="89"/>
        <v>148.9992</v>
      </c>
      <c r="AD80" s="84" t="str">
        <f t="shared" si="90"/>
        <v/>
      </c>
      <c r="AE80" s="84" t="str">
        <f t="shared" si="91"/>
        <v/>
      </c>
      <c r="AF80" s="84" t="str">
        <f t="shared" si="92"/>
        <v/>
      </c>
      <c r="AG80" s="84" t="str">
        <f t="shared" si="93"/>
        <v/>
      </c>
      <c r="AH80" s="84" t="str">
        <f t="shared" si="94"/>
        <v/>
      </c>
      <c r="AI80" s="84">
        <f t="shared" si="95"/>
        <v>148.9992</v>
      </c>
      <c r="AJ80" s="84" t="str">
        <f t="shared" si="96"/>
        <v/>
      </c>
      <c r="AK80" s="84" t="str">
        <f t="shared" si="97"/>
        <v/>
      </c>
      <c r="AL80" s="84" t="str">
        <f t="shared" si="98"/>
        <v/>
      </c>
      <c r="AM80" s="84" t="str">
        <f t="shared" si="99"/>
        <v/>
      </c>
      <c r="AN80" s="84" t="str">
        <f t="shared" si="100"/>
        <v/>
      </c>
      <c r="AO80" s="84">
        <f t="shared" si="101"/>
        <v>148.9992</v>
      </c>
      <c r="AP80" s="84" t="str">
        <f t="shared" si="102"/>
        <v/>
      </c>
      <c r="AQ80" s="84" t="str">
        <f t="shared" si="103"/>
        <v/>
      </c>
      <c r="AR80" s="84" t="str">
        <f t="shared" si="104"/>
        <v/>
      </c>
      <c r="AS80" s="84" t="str">
        <f t="shared" si="105"/>
        <v/>
      </c>
      <c r="AT80" s="84" t="str">
        <f t="shared" si="106"/>
        <v/>
      </c>
      <c r="AU80" s="84">
        <f t="shared" si="107"/>
        <v>148.9992</v>
      </c>
    </row>
    <row r="81" spans="1:47" ht="19" customHeight="1" x14ac:dyDescent="0.3">
      <c r="A81" s="75" t="s">
        <v>95</v>
      </c>
      <c r="B81" s="75"/>
      <c r="C81" s="75"/>
      <c r="D81" s="89">
        <f>持有情况!AU64-ROW()*0.00001</f>
        <v>159.99919</v>
      </c>
      <c r="E81" s="89">
        <v>2</v>
      </c>
      <c r="F81" s="90">
        <v>0</v>
      </c>
      <c r="G81" s="89">
        <v>2</v>
      </c>
      <c r="H81" s="89">
        <v>1</v>
      </c>
      <c r="I81" s="84" t="s">
        <v>331</v>
      </c>
      <c r="J81" s="89">
        <f>IF(路线!C6="计算",INT(45+8*路线!B33+11*路线!B34+10*路线!B31+30+20)-ROW()*0.00001,INT(45+8*路线!B33+11*路线!B34+10*路线!B31+30)-ROW()*0.00001)</f>
        <v>159.99919</v>
      </c>
      <c r="K81" s="1"/>
      <c r="L81" s="84" t="str">
        <f t="shared" si="72"/>
        <v/>
      </c>
      <c r="M81" s="84" t="str">
        <f t="shared" si="73"/>
        <v/>
      </c>
      <c r="N81" s="84" t="str">
        <f t="shared" si="74"/>
        <v/>
      </c>
      <c r="O81" s="84" t="str">
        <f t="shared" si="75"/>
        <v/>
      </c>
      <c r="P81" s="84">
        <f t="shared" si="76"/>
        <v>159.99919</v>
      </c>
      <c r="Q81" s="84" t="str">
        <f t="shared" si="77"/>
        <v/>
      </c>
      <c r="R81" s="84" t="str">
        <f t="shared" si="78"/>
        <v/>
      </c>
      <c r="S81" s="84" t="str">
        <f t="shared" si="79"/>
        <v/>
      </c>
      <c r="T81" s="84" t="str">
        <f t="shared" si="80"/>
        <v/>
      </c>
      <c r="U81" s="84" t="str">
        <f t="shared" si="81"/>
        <v/>
      </c>
      <c r="V81" s="84" t="str">
        <f t="shared" si="82"/>
        <v/>
      </c>
      <c r="W81" s="84" t="str">
        <f t="shared" si="83"/>
        <v/>
      </c>
      <c r="X81" s="84" t="str">
        <f t="shared" si="84"/>
        <v/>
      </c>
      <c r="Y81" s="84" t="str">
        <f t="shared" si="85"/>
        <v/>
      </c>
      <c r="Z81" s="84" t="str">
        <f t="shared" si="86"/>
        <v/>
      </c>
      <c r="AA81" s="84" t="str">
        <f t="shared" si="87"/>
        <v/>
      </c>
      <c r="AB81" s="84" t="str">
        <f t="shared" si="88"/>
        <v/>
      </c>
      <c r="AC81" s="84" t="str">
        <f t="shared" si="89"/>
        <v/>
      </c>
      <c r="AD81" s="84" t="str">
        <f t="shared" si="90"/>
        <v/>
      </c>
      <c r="AE81" s="84" t="str">
        <f t="shared" si="91"/>
        <v/>
      </c>
      <c r="AF81" s="84" t="str">
        <f t="shared" si="92"/>
        <v/>
      </c>
      <c r="AG81" s="84" t="str">
        <f t="shared" si="93"/>
        <v/>
      </c>
      <c r="AH81" s="84" t="str">
        <f t="shared" si="94"/>
        <v/>
      </c>
      <c r="AI81" s="84" t="str">
        <f t="shared" si="95"/>
        <v/>
      </c>
      <c r="AJ81" s="84" t="str">
        <f t="shared" si="96"/>
        <v/>
      </c>
      <c r="AK81" s="84">
        <f t="shared" si="97"/>
        <v>159.99919</v>
      </c>
      <c r="AL81" s="84" t="str">
        <f t="shared" si="98"/>
        <v/>
      </c>
      <c r="AM81" s="84" t="str">
        <f t="shared" si="99"/>
        <v/>
      </c>
      <c r="AN81" s="84" t="str">
        <f t="shared" si="100"/>
        <v/>
      </c>
      <c r="AO81" s="84" t="str">
        <f t="shared" si="101"/>
        <v/>
      </c>
      <c r="AP81" s="84" t="str">
        <f t="shared" si="102"/>
        <v/>
      </c>
      <c r="AQ81" s="84" t="str">
        <f t="shared" si="103"/>
        <v/>
      </c>
      <c r="AR81" s="84" t="str">
        <f t="shared" si="104"/>
        <v/>
      </c>
      <c r="AS81" s="84" t="str">
        <f t="shared" si="105"/>
        <v/>
      </c>
      <c r="AT81" s="84" t="str">
        <f t="shared" si="106"/>
        <v/>
      </c>
      <c r="AU81" s="84" t="str">
        <f t="shared" si="107"/>
        <v/>
      </c>
    </row>
    <row r="82" spans="1:47" ht="19" customHeight="1" x14ac:dyDescent="0.3">
      <c r="A82" s="67" t="s">
        <v>2</v>
      </c>
      <c r="B82" s="67"/>
      <c r="C82" s="67"/>
      <c r="D82" s="89">
        <f>持有情况!AA4-ROW()*0.00001</f>
        <v>155.99918</v>
      </c>
      <c r="E82" s="90">
        <v>0</v>
      </c>
      <c r="F82" s="90">
        <v>0</v>
      </c>
      <c r="G82" s="89">
        <v>3</v>
      </c>
      <c r="H82" s="89">
        <v>1</v>
      </c>
      <c r="I82" s="84" t="s">
        <v>332</v>
      </c>
      <c r="J82" s="89">
        <f>IF(路线!C6="计算",INT(60+2*路线!B24+4*路线!B17+40+20)-ROW()*0.00001,INT(60+2*路线!B24+4*路线!B17+40)-ROW()*0.00001)</f>
        <v>155.99918</v>
      </c>
      <c r="K82" s="1"/>
      <c r="L82" s="84" t="str">
        <f t="shared" si="72"/>
        <v/>
      </c>
      <c r="M82" s="84" t="str">
        <f t="shared" si="73"/>
        <v/>
      </c>
      <c r="N82" s="84" t="str">
        <f t="shared" si="74"/>
        <v/>
      </c>
      <c r="O82" s="84" t="str">
        <f t="shared" si="75"/>
        <v/>
      </c>
      <c r="P82" s="84" t="str">
        <f t="shared" si="76"/>
        <v/>
      </c>
      <c r="Q82" s="84" t="str">
        <f t="shared" si="77"/>
        <v/>
      </c>
      <c r="R82" s="84">
        <f t="shared" si="78"/>
        <v>155.99918</v>
      </c>
      <c r="S82" s="84">
        <f t="shared" si="79"/>
        <v>155.99918</v>
      </c>
      <c r="T82" s="84">
        <f t="shared" si="80"/>
        <v>155.99918</v>
      </c>
      <c r="U82" s="84" t="str">
        <f t="shared" si="81"/>
        <v/>
      </c>
      <c r="V82" s="84" t="str">
        <f t="shared" si="82"/>
        <v/>
      </c>
      <c r="W82" s="84" t="str">
        <f t="shared" si="83"/>
        <v/>
      </c>
      <c r="X82" s="84" t="str">
        <f t="shared" si="84"/>
        <v/>
      </c>
      <c r="Y82" s="84" t="str">
        <f t="shared" si="85"/>
        <v/>
      </c>
      <c r="Z82" s="84" t="str">
        <f t="shared" si="86"/>
        <v/>
      </c>
      <c r="AA82" s="84" t="str">
        <f t="shared" si="87"/>
        <v/>
      </c>
      <c r="AB82" s="84" t="str">
        <f t="shared" si="88"/>
        <v/>
      </c>
      <c r="AC82" s="84" t="str">
        <f t="shared" si="89"/>
        <v/>
      </c>
      <c r="AD82" s="84" t="str">
        <f t="shared" si="90"/>
        <v/>
      </c>
      <c r="AE82" s="84" t="str">
        <f t="shared" si="91"/>
        <v/>
      </c>
      <c r="AF82" s="84">
        <f t="shared" si="92"/>
        <v>155.99918</v>
      </c>
      <c r="AG82" s="84" t="str">
        <f t="shared" si="93"/>
        <v/>
      </c>
      <c r="AH82" s="84" t="str">
        <f t="shared" si="94"/>
        <v/>
      </c>
      <c r="AI82" s="84" t="str">
        <f t="shared" si="95"/>
        <v/>
      </c>
      <c r="AJ82" s="84" t="str">
        <f t="shared" si="96"/>
        <v/>
      </c>
      <c r="AK82" s="84" t="str">
        <f t="shared" si="97"/>
        <v/>
      </c>
      <c r="AL82" s="84">
        <f t="shared" si="98"/>
        <v>155.99918</v>
      </c>
      <c r="AM82" s="84" t="str">
        <f t="shared" si="99"/>
        <v/>
      </c>
      <c r="AN82" s="84" t="str">
        <f t="shared" si="100"/>
        <v/>
      </c>
      <c r="AO82" s="84" t="str">
        <f t="shared" si="101"/>
        <v/>
      </c>
      <c r="AP82" s="84" t="str">
        <f t="shared" si="102"/>
        <v/>
      </c>
      <c r="AQ82" s="84" t="str">
        <f t="shared" si="103"/>
        <v/>
      </c>
      <c r="AR82" s="84">
        <f t="shared" si="104"/>
        <v>155.99918</v>
      </c>
      <c r="AS82" s="84" t="str">
        <f t="shared" si="105"/>
        <v/>
      </c>
      <c r="AT82" s="84" t="str">
        <f t="shared" si="106"/>
        <v/>
      </c>
      <c r="AU82" s="84" t="str">
        <f t="shared" si="107"/>
        <v/>
      </c>
    </row>
    <row r="83" spans="1:47" ht="19" customHeight="1" x14ac:dyDescent="0.3">
      <c r="A83" s="67" t="s">
        <v>83</v>
      </c>
      <c r="B83" s="67"/>
      <c r="C83" s="67"/>
      <c r="D83" s="89">
        <f>持有情况!BE52-ROW()*0.00001</f>
        <v>146.99916999999999</v>
      </c>
      <c r="E83" s="89">
        <v>2</v>
      </c>
      <c r="F83" s="89">
        <v>1</v>
      </c>
      <c r="G83" s="89">
        <v>3</v>
      </c>
      <c r="H83" s="90">
        <v>0</v>
      </c>
      <c r="I83" s="1"/>
      <c r="J83" s="89">
        <f>INT(45+11*路线!B34+13*路线!B18+30)-ROW()*0.00001</f>
        <v>146.99916999999999</v>
      </c>
      <c r="K83" s="1"/>
      <c r="L83" s="84" t="str">
        <f t="shared" si="72"/>
        <v/>
      </c>
      <c r="M83" s="84" t="str">
        <f t="shared" si="73"/>
        <v/>
      </c>
      <c r="N83" s="84" t="str">
        <f t="shared" si="74"/>
        <v/>
      </c>
      <c r="O83" s="84" t="str">
        <f t="shared" si="75"/>
        <v/>
      </c>
      <c r="P83" s="84" t="str">
        <f t="shared" si="76"/>
        <v/>
      </c>
      <c r="Q83" s="84" t="str">
        <f t="shared" si="77"/>
        <v/>
      </c>
      <c r="R83" s="84" t="str">
        <f t="shared" si="78"/>
        <v/>
      </c>
      <c r="S83" s="84">
        <f t="shared" si="79"/>
        <v>146.99916999999999</v>
      </c>
      <c r="T83" s="84" t="str">
        <f t="shared" si="80"/>
        <v/>
      </c>
      <c r="U83" s="84" t="str">
        <f t="shared" si="81"/>
        <v/>
      </c>
      <c r="V83" s="84" t="str">
        <f t="shared" si="82"/>
        <v/>
      </c>
      <c r="W83" s="84" t="str">
        <f t="shared" si="83"/>
        <v/>
      </c>
      <c r="X83" s="84" t="str">
        <f t="shared" si="84"/>
        <v/>
      </c>
      <c r="Y83" s="84" t="str">
        <f t="shared" si="85"/>
        <v/>
      </c>
      <c r="Z83" s="84">
        <f t="shared" si="86"/>
        <v>146.99916999999999</v>
      </c>
      <c r="AA83" s="84" t="str">
        <f t="shared" si="87"/>
        <v/>
      </c>
      <c r="AB83" s="84" t="str">
        <f t="shared" si="88"/>
        <v/>
      </c>
      <c r="AC83" s="84" t="str">
        <f t="shared" si="89"/>
        <v/>
      </c>
      <c r="AD83" s="84" t="str">
        <f t="shared" si="90"/>
        <v/>
      </c>
      <c r="AE83" s="84" t="str">
        <f t="shared" si="91"/>
        <v/>
      </c>
      <c r="AF83" s="84" t="str">
        <f t="shared" si="92"/>
        <v/>
      </c>
      <c r="AG83" s="84" t="str">
        <f t="shared" si="93"/>
        <v/>
      </c>
      <c r="AH83" s="84" t="str">
        <f t="shared" si="94"/>
        <v/>
      </c>
      <c r="AI83" s="84" t="str">
        <f t="shared" si="95"/>
        <v/>
      </c>
      <c r="AJ83" s="84" t="str">
        <f t="shared" si="96"/>
        <v/>
      </c>
      <c r="AK83" s="84" t="str">
        <f t="shared" si="97"/>
        <v/>
      </c>
      <c r="AL83" s="84" t="str">
        <f t="shared" si="98"/>
        <v/>
      </c>
      <c r="AM83" s="84" t="str">
        <f t="shared" si="99"/>
        <v/>
      </c>
      <c r="AN83" s="84" t="str">
        <f t="shared" si="100"/>
        <v/>
      </c>
      <c r="AO83" s="84">
        <f t="shared" si="101"/>
        <v>146.99916999999999</v>
      </c>
      <c r="AP83" s="84" t="str">
        <f t="shared" si="102"/>
        <v/>
      </c>
      <c r="AQ83" s="84" t="str">
        <f t="shared" si="103"/>
        <v/>
      </c>
      <c r="AR83" s="84" t="str">
        <f t="shared" si="104"/>
        <v/>
      </c>
      <c r="AS83" s="84" t="str">
        <f t="shared" si="105"/>
        <v/>
      </c>
      <c r="AT83" s="84" t="str">
        <f t="shared" si="106"/>
        <v/>
      </c>
      <c r="AU83" s="84" t="str">
        <f t="shared" si="107"/>
        <v/>
      </c>
    </row>
    <row r="84" spans="1:47" ht="19" customHeight="1" x14ac:dyDescent="0.3">
      <c r="A84" s="57" t="s">
        <v>58</v>
      </c>
      <c r="B84" s="57"/>
      <c r="C84" s="57"/>
      <c r="D84" s="89">
        <f>持有情况!AK34-ROW()*0.00001</f>
        <v>128.99915999999999</v>
      </c>
      <c r="E84" s="89">
        <v>2</v>
      </c>
      <c r="F84" s="90">
        <v>0</v>
      </c>
      <c r="G84" s="89">
        <v>1</v>
      </c>
      <c r="H84" s="89">
        <v>1</v>
      </c>
      <c r="I84" s="1"/>
      <c r="J84" s="89">
        <f>IF(路线!C6="计算",INT(45+10*路线!B31+17*路线!B32+30+20)-ROW()*0.00001,INT(45+10*路线!B31+17*路线!B32+30)-ROW()*0.00001)</f>
        <v>128.99915999999999</v>
      </c>
      <c r="K84" s="1"/>
      <c r="L84" s="84" t="str">
        <f t="shared" si="72"/>
        <v/>
      </c>
      <c r="M84" s="84">
        <f t="shared" si="73"/>
        <v>128.99915999999999</v>
      </c>
      <c r="N84" s="84" t="str">
        <f t="shared" si="74"/>
        <v/>
      </c>
      <c r="O84" s="84" t="str">
        <f t="shared" si="75"/>
        <v/>
      </c>
      <c r="P84" s="84" t="str">
        <f t="shared" si="76"/>
        <v/>
      </c>
      <c r="Q84" s="84" t="str">
        <f t="shared" si="77"/>
        <v/>
      </c>
      <c r="R84" s="84" t="str">
        <f t="shared" si="78"/>
        <v/>
      </c>
      <c r="S84" s="84" t="str">
        <f t="shared" si="79"/>
        <v/>
      </c>
      <c r="T84" s="84" t="str">
        <f t="shared" si="80"/>
        <v/>
      </c>
      <c r="U84" s="84" t="str">
        <f t="shared" si="81"/>
        <v/>
      </c>
      <c r="V84" s="84" t="str">
        <f t="shared" si="82"/>
        <v/>
      </c>
      <c r="W84" s="84" t="str">
        <f t="shared" si="83"/>
        <v/>
      </c>
      <c r="X84" s="84" t="str">
        <f t="shared" si="84"/>
        <v/>
      </c>
      <c r="Y84" s="84" t="str">
        <f t="shared" si="85"/>
        <v/>
      </c>
      <c r="Z84" s="84" t="str">
        <f t="shared" si="86"/>
        <v/>
      </c>
      <c r="AA84" s="84" t="str">
        <f t="shared" si="87"/>
        <v/>
      </c>
      <c r="AB84" s="84" t="str">
        <f t="shared" si="88"/>
        <v/>
      </c>
      <c r="AC84" s="84" t="str">
        <f t="shared" si="89"/>
        <v/>
      </c>
      <c r="AD84" s="84" t="str">
        <f t="shared" si="90"/>
        <v/>
      </c>
      <c r="AE84" s="84" t="str">
        <f t="shared" si="91"/>
        <v/>
      </c>
      <c r="AF84" s="84" t="str">
        <f t="shared" si="92"/>
        <v/>
      </c>
      <c r="AG84" s="84" t="str">
        <f t="shared" si="93"/>
        <v/>
      </c>
      <c r="AH84" s="84" t="str">
        <f t="shared" si="94"/>
        <v/>
      </c>
      <c r="AI84" s="84" t="str">
        <f t="shared" si="95"/>
        <v/>
      </c>
      <c r="AJ84" s="84">
        <f t="shared" si="96"/>
        <v>128.99915999999999</v>
      </c>
      <c r="AK84" s="84" t="str">
        <f t="shared" si="97"/>
        <v/>
      </c>
      <c r="AL84" s="84" t="str">
        <f t="shared" si="98"/>
        <v/>
      </c>
      <c r="AM84" s="84" t="str">
        <f t="shared" si="99"/>
        <v/>
      </c>
      <c r="AN84" s="84" t="str">
        <f t="shared" si="100"/>
        <v/>
      </c>
      <c r="AO84" s="84" t="str">
        <f t="shared" si="101"/>
        <v/>
      </c>
      <c r="AP84" s="84" t="str">
        <f t="shared" si="102"/>
        <v/>
      </c>
      <c r="AQ84" s="84" t="str">
        <f t="shared" si="103"/>
        <v/>
      </c>
      <c r="AR84" s="84" t="str">
        <f t="shared" si="104"/>
        <v/>
      </c>
      <c r="AS84" s="84" t="str">
        <f t="shared" si="105"/>
        <v/>
      </c>
      <c r="AT84" s="84" t="str">
        <f t="shared" si="106"/>
        <v/>
      </c>
      <c r="AU84" s="84" t="str">
        <f t="shared" si="107"/>
        <v/>
      </c>
    </row>
    <row r="85" spans="1:47" ht="19" customHeight="1" x14ac:dyDescent="0.3">
      <c r="A85" s="67" t="s">
        <v>96</v>
      </c>
      <c r="B85" s="67"/>
      <c r="C85" s="67"/>
      <c r="D85" s="89">
        <f>持有情况!BE64-ROW()*0.00001</f>
        <v>74.99915</v>
      </c>
      <c r="E85" s="90">
        <v>0</v>
      </c>
      <c r="F85" s="89">
        <v>1</v>
      </c>
      <c r="G85" s="89">
        <v>3</v>
      </c>
      <c r="H85" s="90">
        <v>0</v>
      </c>
      <c r="I85" s="1"/>
      <c r="J85" s="89">
        <f>INT(45+10*路线!B31+30)-ROW()*0.00001</f>
        <v>74.99915</v>
      </c>
      <c r="K85" s="1"/>
      <c r="L85" s="84" t="str">
        <f t="shared" si="72"/>
        <v/>
      </c>
      <c r="M85" s="84" t="str">
        <f t="shared" si="73"/>
        <v/>
      </c>
      <c r="N85" s="84" t="str">
        <f t="shared" si="74"/>
        <v/>
      </c>
      <c r="O85" s="84" t="str">
        <f t="shared" si="75"/>
        <v/>
      </c>
      <c r="P85" s="84" t="str">
        <f t="shared" si="76"/>
        <v/>
      </c>
      <c r="Q85" s="84" t="str">
        <f t="shared" si="77"/>
        <v/>
      </c>
      <c r="R85" s="84">
        <f t="shared" si="78"/>
        <v>74.99915</v>
      </c>
      <c r="S85" s="84">
        <f t="shared" si="79"/>
        <v>74.99915</v>
      </c>
      <c r="T85" s="84">
        <f t="shared" si="80"/>
        <v>74.99915</v>
      </c>
      <c r="U85" s="84" t="str">
        <f t="shared" si="81"/>
        <v/>
      </c>
      <c r="V85" s="84" t="str">
        <f t="shared" si="82"/>
        <v/>
      </c>
      <c r="W85" s="84">
        <f t="shared" si="83"/>
        <v>74.99915</v>
      </c>
      <c r="X85" s="84" t="str">
        <f t="shared" si="84"/>
        <v/>
      </c>
      <c r="Y85" s="84" t="str">
        <f t="shared" si="85"/>
        <v/>
      </c>
      <c r="Z85" s="84">
        <f t="shared" si="86"/>
        <v>74.99915</v>
      </c>
      <c r="AA85" s="84" t="str">
        <f t="shared" si="87"/>
        <v/>
      </c>
      <c r="AB85" s="84" t="str">
        <f t="shared" si="88"/>
        <v/>
      </c>
      <c r="AC85" s="84">
        <f t="shared" si="89"/>
        <v>74.99915</v>
      </c>
      <c r="AD85" s="84" t="str">
        <f t="shared" si="90"/>
        <v/>
      </c>
      <c r="AE85" s="84" t="str">
        <f t="shared" si="91"/>
        <v/>
      </c>
      <c r="AF85" s="84" t="str">
        <f t="shared" si="92"/>
        <v/>
      </c>
      <c r="AG85" s="84" t="str">
        <f t="shared" si="93"/>
        <v/>
      </c>
      <c r="AH85" s="84" t="str">
        <f t="shared" si="94"/>
        <v/>
      </c>
      <c r="AI85" s="84">
        <f t="shared" si="95"/>
        <v>74.99915</v>
      </c>
      <c r="AJ85" s="84" t="str">
        <f t="shared" si="96"/>
        <v/>
      </c>
      <c r="AK85" s="84" t="str">
        <f t="shared" si="97"/>
        <v/>
      </c>
      <c r="AL85" s="84" t="str">
        <f t="shared" si="98"/>
        <v/>
      </c>
      <c r="AM85" s="84" t="str">
        <f t="shared" si="99"/>
        <v/>
      </c>
      <c r="AN85" s="84" t="str">
        <f t="shared" si="100"/>
        <v/>
      </c>
      <c r="AO85" s="84">
        <f t="shared" si="101"/>
        <v>74.99915</v>
      </c>
      <c r="AP85" s="84" t="str">
        <f t="shared" si="102"/>
        <v/>
      </c>
      <c r="AQ85" s="84" t="str">
        <f t="shared" si="103"/>
        <v/>
      </c>
      <c r="AR85" s="84" t="str">
        <f t="shared" si="104"/>
        <v/>
      </c>
      <c r="AS85" s="84" t="str">
        <f t="shared" si="105"/>
        <v/>
      </c>
      <c r="AT85" s="84" t="str">
        <f t="shared" si="106"/>
        <v/>
      </c>
      <c r="AU85" s="84">
        <f t="shared" si="107"/>
        <v>74.99915</v>
      </c>
    </row>
    <row r="86" spans="1:47" ht="19" customHeight="1" x14ac:dyDescent="0.3">
      <c r="A86" s="67" t="s">
        <v>57</v>
      </c>
      <c r="B86" s="67"/>
      <c r="C86" s="67"/>
      <c r="D86" s="89">
        <f>持有情况!AA34-ROW()*0.00001</f>
        <v>161.99914000000001</v>
      </c>
      <c r="E86" s="90">
        <v>0</v>
      </c>
      <c r="F86" s="90">
        <v>0</v>
      </c>
      <c r="G86" s="89">
        <v>3</v>
      </c>
      <c r="H86" s="89">
        <v>1</v>
      </c>
      <c r="I86" s="84" t="s">
        <v>333</v>
      </c>
      <c r="J86" s="89">
        <f>INT(60+6*路线!B17+22*路线!B32+40)-ROW()*0.00001</f>
        <v>161.99914000000001</v>
      </c>
      <c r="K86" s="1"/>
      <c r="L86" s="84" t="str">
        <f t="shared" si="72"/>
        <v/>
      </c>
      <c r="M86" s="84" t="str">
        <f t="shared" si="73"/>
        <v/>
      </c>
      <c r="N86" s="84" t="str">
        <f t="shared" si="74"/>
        <v/>
      </c>
      <c r="O86" s="84" t="str">
        <f t="shared" si="75"/>
        <v/>
      </c>
      <c r="P86" s="84" t="str">
        <f t="shared" si="76"/>
        <v/>
      </c>
      <c r="Q86" s="84" t="str">
        <f t="shared" si="77"/>
        <v/>
      </c>
      <c r="R86" s="84">
        <f t="shared" si="78"/>
        <v>161.99914000000001</v>
      </c>
      <c r="S86" s="84">
        <f t="shared" si="79"/>
        <v>161.99914000000001</v>
      </c>
      <c r="T86" s="84">
        <f t="shared" si="80"/>
        <v>161.99914000000001</v>
      </c>
      <c r="U86" s="84" t="str">
        <f t="shared" si="81"/>
        <v/>
      </c>
      <c r="V86" s="84" t="str">
        <f t="shared" si="82"/>
        <v/>
      </c>
      <c r="W86" s="84" t="str">
        <f t="shared" si="83"/>
        <v/>
      </c>
      <c r="X86" s="84" t="str">
        <f t="shared" si="84"/>
        <v/>
      </c>
      <c r="Y86" s="84" t="str">
        <f t="shared" si="85"/>
        <v/>
      </c>
      <c r="Z86" s="84" t="str">
        <f t="shared" si="86"/>
        <v/>
      </c>
      <c r="AA86" s="84" t="str">
        <f t="shared" si="87"/>
        <v/>
      </c>
      <c r="AB86" s="84" t="str">
        <f t="shared" si="88"/>
        <v/>
      </c>
      <c r="AC86" s="84" t="str">
        <f t="shared" si="89"/>
        <v/>
      </c>
      <c r="AD86" s="84" t="str">
        <f t="shared" si="90"/>
        <v/>
      </c>
      <c r="AE86" s="84" t="str">
        <f t="shared" si="91"/>
        <v/>
      </c>
      <c r="AF86" s="84">
        <f t="shared" si="92"/>
        <v>161.99914000000001</v>
      </c>
      <c r="AG86" s="84" t="str">
        <f t="shared" si="93"/>
        <v/>
      </c>
      <c r="AH86" s="84" t="str">
        <f t="shared" si="94"/>
        <v/>
      </c>
      <c r="AI86" s="84" t="str">
        <f t="shared" si="95"/>
        <v/>
      </c>
      <c r="AJ86" s="84" t="str">
        <f t="shared" si="96"/>
        <v/>
      </c>
      <c r="AK86" s="84" t="str">
        <f t="shared" si="97"/>
        <v/>
      </c>
      <c r="AL86" s="84">
        <f t="shared" si="98"/>
        <v>161.99914000000001</v>
      </c>
      <c r="AM86" s="84" t="str">
        <f t="shared" si="99"/>
        <v/>
      </c>
      <c r="AN86" s="84" t="str">
        <f t="shared" si="100"/>
        <v/>
      </c>
      <c r="AO86" s="84" t="str">
        <f t="shared" si="101"/>
        <v/>
      </c>
      <c r="AP86" s="84" t="str">
        <f t="shared" si="102"/>
        <v/>
      </c>
      <c r="AQ86" s="84" t="str">
        <f t="shared" si="103"/>
        <v/>
      </c>
      <c r="AR86" s="84">
        <f t="shared" si="104"/>
        <v>161.99914000000001</v>
      </c>
      <c r="AS86" s="84" t="str">
        <f t="shared" si="105"/>
        <v/>
      </c>
      <c r="AT86" s="84" t="str">
        <f t="shared" si="106"/>
        <v/>
      </c>
      <c r="AU86" s="84" t="str">
        <f t="shared" si="107"/>
        <v/>
      </c>
    </row>
    <row r="87" spans="1:47" ht="19" customHeight="1" x14ac:dyDescent="0.3">
      <c r="A87" s="75" t="s">
        <v>59</v>
      </c>
      <c r="B87" s="75"/>
      <c r="C87" s="75"/>
      <c r="D87" s="89">
        <f>IF(路线!B4="计算",持有情况!AW35,持有情况!AU34)-ROW()*0.00001</f>
        <v>179.99913000000001</v>
      </c>
      <c r="E87" s="89">
        <v>1</v>
      </c>
      <c r="F87" s="89">
        <v>1</v>
      </c>
      <c r="G87" s="89">
        <v>2</v>
      </c>
      <c r="H87" s="90">
        <v>0</v>
      </c>
      <c r="I87" s="1"/>
      <c r="J87" s="89">
        <f>IF(路线!B4="计算",INT(45+11*路线!B34+4*路线!B17+30+持有情况!AW33),INT(45+11*路线!B34+4*路线!B17+30))-ROW()*0.00001</f>
        <v>179.99913000000001</v>
      </c>
      <c r="K87" s="1"/>
      <c r="L87" s="84" t="str">
        <f t="shared" si="72"/>
        <v/>
      </c>
      <c r="M87" s="84" t="str">
        <f t="shared" si="73"/>
        <v/>
      </c>
      <c r="N87" s="84" t="str">
        <f t="shared" si="74"/>
        <v/>
      </c>
      <c r="O87" s="84">
        <f t="shared" si="75"/>
        <v>179.99913000000001</v>
      </c>
      <c r="P87" s="84" t="str">
        <f t="shared" si="76"/>
        <v/>
      </c>
      <c r="Q87" s="84" t="str">
        <f t="shared" si="77"/>
        <v/>
      </c>
      <c r="R87" s="84" t="str">
        <f t="shared" si="78"/>
        <v/>
      </c>
      <c r="S87" s="84" t="str">
        <f t="shared" si="79"/>
        <v/>
      </c>
      <c r="T87" s="84" t="str">
        <f t="shared" si="80"/>
        <v/>
      </c>
      <c r="U87" s="84" t="str">
        <f t="shared" si="81"/>
        <v/>
      </c>
      <c r="V87" s="84">
        <f t="shared" si="82"/>
        <v>179.99913000000001</v>
      </c>
      <c r="W87" s="84" t="str">
        <f t="shared" si="83"/>
        <v/>
      </c>
      <c r="X87" s="84" t="str">
        <f t="shared" si="84"/>
        <v/>
      </c>
      <c r="Y87" s="84" t="str">
        <f t="shared" si="85"/>
        <v/>
      </c>
      <c r="Z87" s="84" t="str">
        <f t="shared" si="86"/>
        <v/>
      </c>
      <c r="AA87" s="84" t="str">
        <f t="shared" si="87"/>
        <v/>
      </c>
      <c r="AB87" s="84" t="str">
        <f t="shared" si="88"/>
        <v/>
      </c>
      <c r="AC87" s="84" t="str">
        <f t="shared" si="89"/>
        <v/>
      </c>
      <c r="AD87" s="84" t="str">
        <f t="shared" si="90"/>
        <v/>
      </c>
      <c r="AE87" s="84" t="str">
        <f t="shared" si="91"/>
        <v/>
      </c>
      <c r="AF87" s="84" t="str">
        <f t="shared" si="92"/>
        <v/>
      </c>
      <c r="AG87" s="84" t="str">
        <f t="shared" si="93"/>
        <v/>
      </c>
      <c r="AH87" s="84">
        <f t="shared" si="94"/>
        <v>179.99913000000001</v>
      </c>
      <c r="AI87" s="84" t="str">
        <f t="shared" si="95"/>
        <v/>
      </c>
      <c r="AJ87" s="84" t="str">
        <f t="shared" si="96"/>
        <v/>
      </c>
      <c r="AK87" s="84" t="str">
        <f t="shared" si="97"/>
        <v/>
      </c>
      <c r="AL87" s="84" t="str">
        <f t="shared" si="98"/>
        <v/>
      </c>
      <c r="AM87" s="84" t="str">
        <f t="shared" si="99"/>
        <v/>
      </c>
      <c r="AN87" s="84" t="str">
        <f t="shared" si="100"/>
        <v/>
      </c>
      <c r="AO87" s="84" t="str">
        <f t="shared" si="101"/>
        <v/>
      </c>
      <c r="AP87" s="84" t="str">
        <f t="shared" si="102"/>
        <v/>
      </c>
      <c r="AQ87" s="84" t="str">
        <f t="shared" si="103"/>
        <v/>
      </c>
      <c r="AR87" s="84" t="str">
        <f t="shared" si="104"/>
        <v/>
      </c>
      <c r="AS87" s="84" t="str">
        <f t="shared" si="105"/>
        <v/>
      </c>
      <c r="AT87" s="84" t="str">
        <f t="shared" si="106"/>
        <v/>
      </c>
      <c r="AU87" s="84" t="str">
        <f t="shared" si="107"/>
        <v/>
      </c>
    </row>
    <row r="88" spans="1:47" ht="19" customHeight="1" x14ac:dyDescent="0.3">
      <c r="A88" s="57" t="s">
        <v>98</v>
      </c>
      <c r="B88" s="57"/>
      <c r="C88" s="57"/>
      <c r="D88" s="89">
        <f>持有情况!G70-ROW()*0.00001</f>
        <v>198.99912</v>
      </c>
      <c r="E88" s="89">
        <v>1</v>
      </c>
      <c r="F88" s="89">
        <v>1</v>
      </c>
      <c r="G88" s="89">
        <v>1</v>
      </c>
      <c r="H88" s="90">
        <v>0</v>
      </c>
      <c r="I88" s="1"/>
      <c r="J88" s="89">
        <f>INT(60+4*路线!B25+17*路线!B34+40)-ROW()*0.00001</f>
        <v>198.99912</v>
      </c>
      <c r="K88" s="1"/>
      <c r="L88" s="84">
        <f t="shared" si="72"/>
        <v>198.99912</v>
      </c>
      <c r="M88" s="84" t="str">
        <f t="shared" si="73"/>
        <v/>
      </c>
      <c r="N88" s="84" t="str">
        <f t="shared" si="74"/>
        <v/>
      </c>
      <c r="O88" s="84" t="str">
        <f t="shared" si="75"/>
        <v/>
      </c>
      <c r="P88" s="84" t="str">
        <f t="shared" si="76"/>
        <v/>
      </c>
      <c r="Q88" s="84" t="str">
        <f t="shared" si="77"/>
        <v/>
      </c>
      <c r="R88" s="84" t="str">
        <f t="shared" si="78"/>
        <v/>
      </c>
      <c r="S88" s="84" t="str">
        <f t="shared" si="79"/>
        <v/>
      </c>
      <c r="T88" s="84" t="str">
        <f t="shared" si="80"/>
        <v/>
      </c>
      <c r="U88" s="84">
        <f t="shared" si="81"/>
        <v>198.99912</v>
      </c>
      <c r="V88" s="84" t="str">
        <f t="shared" si="82"/>
        <v/>
      </c>
      <c r="W88" s="84" t="str">
        <f t="shared" si="83"/>
        <v/>
      </c>
      <c r="X88" s="84" t="str">
        <f t="shared" si="84"/>
        <v/>
      </c>
      <c r="Y88" s="84" t="str">
        <f t="shared" si="85"/>
        <v/>
      </c>
      <c r="Z88" s="84" t="str">
        <f t="shared" si="86"/>
        <v/>
      </c>
      <c r="AA88" s="84" t="str">
        <f t="shared" si="87"/>
        <v/>
      </c>
      <c r="AB88" s="84" t="str">
        <f t="shared" si="88"/>
        <v/>
      </c>
      <c r="AC88" s="84" t="str">
        <f t="shared" si="89"/>
        <v/>
      </c>
      <c r="AD88" s="84" t="str">
        <f t="shared" si="90"/>
        <v/>
      </c>
      <c r="AE88" s="84" t="str">
        <f t="shared" si="91"/>
        <v/>
      </c>
      <c r="AF88" s="84" t="str">
        <f t="shared" si="92"/>
        <v/>
      </c>
      <c r="AG88" s="84">
        <f t="shared" si="93"/>
        <v>198.99912</v>
      </c>
      <c r="AH88" s="84" t="str">
        <f t="shared" si="94"/>
        <v/>
      </c>
      <c r="AI88" s="84" t="str">
        <f t="shared" si="95"/>
        <v/>
      </c>
      <c r="AJ88" s="84" t="str">
        <f t="shared" si="96"/>
        <v/>
      </c>
      <c r="AK88" s="84" t="str">
        <f t="shared" si="97"/>
        <v/>
      </c>
      <c r="AL88" s="84" t="str">
        <f t="shared" si="98"/>
        <v/>
      </c>
      <c r="AM88" s="84" t="str">
        <f t="shared" si="99"/>
        <v/>
      </c>
      <c r="AN88" s="84" t="str">
        <f t="shared" si="100"/>
        <v/>
      </c>
      <c r="AO88" s="84" t="str">
        <f t="shared" si="101"/>
        <v/>
      </c>
      <c r="AP88" s="84" t="str">
        <f t="shared" si="102"/>
        <v/>
      </c>
      <c r="AQ88" s="84" t="str">
        <f t="shared" si="103"/>
        <v/>
      </c>
      <c r="AR88" s="84" t="str">
        <f t="shared" si="104"/>
        <v/>
      </c>
      <c r="AS88" s="84" t="str">
        <f t="shared" si="105"/>
        <v/>
      </c>
      <c r="AT88" s="84" t="str">
        <f t="shared" si="106"/>
        <v/>
      </c>
      <c r="AU88" s="84" t="str">
        <f t="shared" si="107"/>
        <v/>
      </c>
    </row>
    <row r="89" spans="1:47" ht="19" customHeight="1" x14ac:dyDescent="0.3">
      <c r="A89" s="75" t="s">
        <v>99</v>
      </c>
      <c r="B89" s="75"/>
      <c r="C89" s="75"/>
      <c r="D89" s="89">
        <f>持有情况!Q70-ROW()*0.00001</f>
        <v>116.99911</v>
      </c>
      <c r="E89" s="89">
        <v>3</v>
      </c>
      <c r="F89" s="89">
        <v>1</v>
      </c>
      <c r="G89" s="89">
        <v>2</v>
      </c>
      <c r="H89" s="89">
        <v>1</v>
      </c>
      <c r="I89" s="84" t="s">
        <v>334</v>
      </c>
      <c r="J89" s="89">
        <f>INT(60+17+40)-ROW()*0.00001</f>
        <v>116.99911</v>
      </c>
      <c r="K89" s="1"/>
      <c r="L89" s="84" t="str">
        <f t="shared" si="72"/>
        <v/>
      </c>
      <c r="M89" s="84" t="str">
        <f t="shared" si="73"/>
        <v/>
      </c>
      <c r="N89" s="84" t="str">
        <f t="shared" si="74"/>
        <v/>
      </c>
      <c r="O89" s="84" t="str">
        <f t="shared" si="75"/>
        <v/>
      </c>
      <c r="P89" s="84" t="str">
        <f t="shared" si="76"/>
        <v/>
      </c>
      <c r="Q89" s="84">
        <f t="shared" si="77"/>
        <v>116.99911</v>
      </c>
      <c r="R89" s="84" t="str">
        <f t="shared" si="78"/>
        <v/>
      </c>
      <c r="S89" s="84" t="str">
        <f t="shared" si="79"/>
        <v/>
      </c>
      <c r="T89" s="84" t="str">
        <f t="shared" si="80"/>
        <v/>
      </c>
      <c r="U89" s="84" t="str">
        <f t="shared" si="81"/>
        <v/>
      </c>
      <c r="V89" s="84" t="str">
        <f t="shared" si="82"/>
        <v/>
      </c>
      <c r="W89" s="84" t="str">
        <f t="shared" si="83"/>
        <v/>
      </c>
      <c r="X89" s="84" t="str">
        <f t="shared" si="84"/>
        <v/>
      </c>
      <c r="Y89" s="84" t="str">
        <f t="shared" si="85"/>
        <v/>
      </c>
      <c r="Z89" s="84" t="str">
        <f t="shared" si="86"/>
        <v/>
      </c>
      <c r="AA89" s="84" t="str">
        <f t="shared" si="87"/>
        <v/>
      </c>
      <c r="AB89" s="84">
        <f t="shared" si="88"/>
        <v>116.99911</v>
      </c>
      <c r="AC89" s="84" t="str">
        <f t="shared" si="89"/>
        <v/>
      </c>
      <c r="AD89" s="84" t="str">
        <f t="shared" si="90"/>
        <v/>
      </c>
      <c r="AE89" s="84" t="str">
        <f t="shared" si="91"/>
        <v/>
      </c>
      <c r="AF89" s="84" t="str">
        <f t="shared" si="92"/>
        <v/>
      </c>
      <c r="AG89" s="84" t="str">
        <f t="shared" si="93"/>
        <v/>
      </c>
      <c r="AH89" s="84" t="str">
        <f t="shared" si="94"/>
        <v/>
      </c>
      <c r="AI89" s="84" t="str">
        <f t="shared" si="95"/>
        <v/>
      </c>
      <c r="AJ89" s="84" t="str">
        <f t="shared" si="96"/>
        <v/>
      </c>
      <c r="AK89" s="84" t="str">
        <f t="shared" si="97"/>
        <v/>
      </c>
      <c r="AL89" s="84" t="str">
        <f t="shared" si="98"/>
        <v/>
      </c>
      <c r="AM89" s="84" t="str">
        <f t="shared" si="99"/>
        <v/>
      </c>
      <c r="AN89" s="84" t="str">
        <f t="shared" si="100"/>
        <v/>
      </c>
      <c r="AO89" s="84" t="str">
        <f t="shared" si="101"/>
        <v/>
      </c>
      <c r="AP89" s="84" t="str">
        <f t="shared" si="102"/>
        <v/>
      </c>
      <c r="AQ89" s="84" t="str">
        <f t="shared" si="103"/>
        <v/>
      </c>
      <c r="AR89" s="84" t="str">
        <f t="shared" si="104"/>
        <v/>
      </c>
      <c r="AS89" s="84" t="str">
        <f t="shared" si="105"/>
        <v/>
      </c>
      <c r="AT89" s="84">
        <f t="shared" si="106"/>
        <v>116.99911</v>
      </c>
      <c r="AU89" s="84" t="str">
        <f t="shared" si="107"/>
        <v/>
      </c>
    </row>
    <row r="90" spans="1:47" ht="19" customHeight="1" x14ac:dyDescent="0.3">
      <c r="A90" s="57" t="s">
        <v>66</v>
      </c>
      <c r="B90" s="57"/>
      <c r="C90" s="57"/>
      <c r="D90" s="89">
        <f>IF(路线!B4="计算",持有情况!AM41,持有情况!AK40)-ROW()*0.00001</f>
        <v>168.9991</v>
      </c>
      <c r="E90" s="89">
        <v>2</v>
      </c>
      <c r="F90" s="90">
        <v>0</v>
      </c>
      <c r="G90" s="89">
        <v>1</v>
      </c>
      <c r="H90" s="90">
        <v>0</v>
      </c>
      <c r="I90" s="1"/>
      <c r="J90" s="89">
        <f>IF(路线!B4="计算",INT(45+17*路线!B32+30+持有情况!AM39),INT(45+17*路线!B32+30))-ROW()*0.00001</f>
        <v>168.9991</v>
      </c>
      <c r="K90" s="1"/>
      <c r="L90" s="84" t="str">
        <f t="shared" si="72"/>
        <v/>
      </c>
      <c r="M90" s="84">
        <f t="shared" si="73"/>
        <v>168.9991</v>
      </c>
      <c r="N90" s="84" t="str">
        <f t="shared" si="74"/>
        <v/>
      </c>
      <c r="O90" s="84" t="str">
        <f t="shared" si="75"/>
        <v/>
      </c>
      <c r="P90" s="84" t="str">
        <f t="shared" si="76"/>
        <v/>
      </c>
      <c r="Q90" s="84" t="str">
        <f t="shared" si="77"/>
        <v/>
      </c>
      <c r="R90" s="84" t="str">
        <f t="shared" si="78"/>
        <v/>
      </c>
      <c r="S90" s="84" t="str">
        <f t="shared" si="79"/>
        <v/>
      </c>
      <c r="T90" s="84" t="str">
        <f t="shared" si="80"/>
        <v/>
      </c>
      <c r="U90" s="84" t="str">
        <f t="shared" si="81"/>
        <v/>
      </c>
      <c r="V90" s="84" t="str">
        <f t="shared" si="82"/>
        <v/>
      </c>
      <c r="W90" s="84" t="str">
        <f t="shared" si="83"/>
        <v/>
      </c>
      <c r="X90" s="84" t="str">
        <f t="shared" si="84"/>
        <v/>
      </c>
      <c r="Y90" s="84" t="str">
        <f t="shared" si="85"/>
        <v/>
      </c>
      <c r="Z90" s="84" t="str">
        <f t="shared" si="86"/>
        <v/>
      </c>
      <c r="AA90" s="84" t="str">
        <f t="shared" si="87"/>
        <v/>
      </c>
      <c r="AB90" s="84" t="str">
        <f t="shared" si="88"/>
        <v/>
      </c>
      <c r="AC90" s="84" t="str">
        <f t="shared" si="89"/>
        <v/>
      </c>
      <c r="AD90" s="84" t="str">
        <f t="shared" si="90"/>
        <v/>
      </c>
      <c r="AE90" s="84" t="str">
        <f t="shared" si="91"/>
        <v/>
      </c>
      <c r="AF90" s="84" t="str">
        <f t="shared" si="92"/>
        <v/>
      </c>
      <c r="AG90" s="84" t="str">
        <f t="shared" si="93"/>
        <v/>
      </c>
      <c r="AH90" s="84" t="str">
        <f t="shared" si="94"/>
        <v/>
      </c>
      <c r="AI90" s="84" t="str">
        <f t="shared" si="95"/>
        <v/>
      </c>
      <c r="AJ90" s="84">
        <f t="shared" si="96"/>
        <v>168.9991</v>
      </c>
      <c r="AK90" s="84" t="str">
        <f t="shared" si="97"/>
        <v/>
      </c>
      <c r="AL90" s="84" t="str">
        <f t="shared" si="98"/>
        <v/>
      </c>
      <c r="AM90" s="84" t="str">
        <f t="shared" si="99"/>
        <v/>
      </c>
      <c r="AN90" s="84" t="str">
        <f t="shared" si="100"/>
        <v/>
      </c>
      <c r="AO90" s="84" t="str">
        <f t="shared" si="101"/>
        <v/>
      </c>
      <c r="AP90" s="84" t="str">
        <f t="shared" si="102"/>
        <v/>
      </c>
      <c r="AQ90" s="84" t="str">
        <f t="shared" si="103"/>
        <v/>
      </c>
      <c r="AR90" s="84" t="str">
        <f t="shared" si="104"/>
        <v/>
      </c>
      <c r="AS90" s="84" t="str">
        <f t="shared" si="105"/>
        <v/>
      </c>
      <c r="AT90" s="84" t="str">
        <f t="shared" si="106"/>
        <v/>
      </c>
      <c r="AU90" s="84" t="str">
        <f t="shared" si="107"/>
        <v/>
      </c>
    </row>
    <row r="91" spans="1:47" ht="19" customHeight="1" x14ac:dyDescent="0.3">
      <c r="A91" s="57" t="s">
        <v>85</v>
      </c>
      <c r="B91" s="57"/>
      <c r="C91" s="57"/>
      <c r="D91" s="89">
        <f>持有情况!G58-ROW()*0.00001</f>
        <v>131.99909</v>
      </c>
      <c r="E91" s="90">
        <v>0</v>
      </c>
      <c r="F91" s="89">
        <v>1</v>
      </c>
      <c r="G91" s="89">
        <v>1</v>
      </c>
      <c r="H91" s="89">
        <v>1</v>
      </c>
      <c r="I91" s="84" t="s">
        <v>335</v>
      </c>
      <c r="J91" s="89">
        <f>INT(60+8*路线!B33+40)-ROW()*0.00001</f>
        <v>131.99909</v>
      </c>
      <c r="K91" s="1"/>
      <c r="L91" s="84">
        <f t="shared" si="72"/>
        <v>131.99909</v>
      </c>
      <c r="M91" s="84">
        <f t="shared" si="73"/>
        <v>131.99909</v>
      </c>
      <c r="N91" s="84">
        <f t="shared" si="74"/>
        <v>131.99909</v>
      </c>
      <c r="O91" s="84" t="str">
        <f t="shared" si="75"/>
        <v/>
      </c>
      <c r="P91" s="84" t="str">
        <f t="shared" si="76"/>
        <v/>
      </c>
      <c r="Q91" s="84" t="str">
        <f t="shared" si="77"/>
        <v/>
      </c>
      <c r="R91" s="84" t="str">
        <f t="shared" si="78"/>
        <v/>
      </c>
      <c r="S91" s="84" t="str">
        <f t="shared" si="79"/>
        <v/>
      </c>
      <c r="T91" s="84" t="str">
        <f t="shared" si="80"/>
        <v/>
      </c>
      <c r="U91" s="84">
        <f t="shared" si="81"/>
        <v>131.99909</v>
      </c>
      <c r="V91" s="84" t="str">
        <f t="shared" si="82"/>
        <v/>
      </c>
      <c r="W91" s="84" t="str">
        <f t="shared" si="83"/>
        <v/>
      </c>
      <c r="X91" s="84">
        <f t="shared" si="84"/>
        <v>131.99909</v>
      </c>
      <c r="Y91" s="84" t="str">
        <f t="shared" si="85"/>
        <v/>
      </c>
      <c r="Z91" s="84" t="str">
        <f t="shared" si="86"/>
        <v/>
      </c>
      <c r="AA91" s="84">
        <f t="shared" si="87"/>
        <v>131.99909</v>
      </c>
      <c r="AB91" s="84" t="str">
        <f t="shared" si="88"/>
        <v/>
      </c>
      <c r="AC91" s="84" t="str">
        <f t="shared" si="89"/>
        <v/>
      </c>
      <c r="AD91" s="84" t="str">
        <f t="shared" si="90"/>
        <v/>
      </c>
      <c r="AE91" s="84" t="str">
        <f t="shared" si="91"/>
        <v/>
      </c>
      <c r="AF91" s="84" t="str">
        <f t="shared" si="92"/>
        <v/>
      </c>
      <c r="AG91" s="84">
        <f t="shared" si="93"/>
        <v>131.99909</v>
      </c>
      <c r="AH91" s="84" t="str">
        <f t="shared" si="94"/>
        <v/>
      </c>
      <c r="AI91" s="84" t="str">
        <f t="shared" si="95"/>
        <v/>
      </c>
      <c r="AJ91" s="84" t="str">
        <f t="shared" si="96"/>
        <v/>
      </c>
      <c r="AK91" s="84" t="str">
        <f t="shared" si="97"/>
        <v/>
      </c>
      <c r="AL91" s="84" t="str">
        <f t="shared" si="98"/>
        <v/>
      </c>
      <c r="AM91" s="84">
        <f t="shared" si="99"/>
        <v>131.99909</v>
      </c>
      <c r="AN91" s="84" t="str">
        <f t="shared" si="100"/>
        <v/>
      </c>
      <c r="AO91" s="84" t="str">
        <f t="shared" si="101"/>
        <v/>
      </c>
      <c r="AP91" s="84" t="str">
        <f t="shared" si="102"/>
        <v/>
      </c>
      <c r="AQ91" s="84" t="str">
        <f t="shared" si="103"/>
        <v/>
      </c>
      <c r="AR91" s="84" t="str">
        <f t="shared" si="104"/>
        <v/>
      </c>
      <c r="AS91" s="84">
        <f t="shared" si="105"/>
        <v>131.99909</v>
      </c>
      <c r="AT91" s="84" t="str">
        <f t="shared" si="106"/>
        <v/>
      </c>
      <c r="AU91" s="84" t="str">
        <f t="shared" si="107"/>
        <v/>
      </c>
    </row>
    <row r="92" spans="1:47" ht="19" customHeight="1" x14ac:dyDescent="0.3">
      <c r="A92" s="57" t="s">
        <v>44</v>
      </c>
      <c r="B92" s="57"/>
      <c r="C92" s="57"/>
      <c r="D92" s="89">
        <f>持有情况!AK22-ROW()*0.00001</f>
        <v>137.99907999999999</v>
      </c>
      <c r="E92" s="90">
        <v>0</v>
      </c>
      <c r="F92" s="90">
        <v>0</v>
      </c>
      <c r="G92" s="89">
        <v>1</v>
      </c>
      <c r="H92" s="89">
        <v>1</v>
      </c>
      <c r="I92" s="1"/>
      <c r="J92" s="89">
        <f>IF(路线!C6="计算",INT((6.4/100)*路线!B12+11*路线!B34+4*路线!B17+30+20)-ROW()*0.00001,INT((6.4/100)*路线!B12+11*路线!B34+4*路线!B17+30)-ROW()*0.00001)</f>
        <v>137.99907999999999</v>
      </c>
      <c r="K92" s="1"/>
      <c r="L92" s="84">
        <f t="shared" si="72"/>
        <v>137.99907999999999</v>
      </c>
      <c r="M92" s="84">
        <f t="shared" si="73"/>
        <v>137.99907999999999</v>
      </c>
      <c r="N92" s="84">
        <f t="shared" si="74"/>
        <v>137.99907999999999</v>
      </c>
      <c r="O92" s="84" t="str">
        <f t="shared" si="75"/>
        <v/>
      </c>
      <c r="P92" s="84" t="str">
        <f t="shared" si="76"/>
        <v/>
      </c>
      <c r="Q92" s="84" t="str">
        <f t="shared" si="77"/>
        <v/>
      </c>
      <c r="R92" s="84" t="str">
        <f t="shared" si="78"/>
        <v/>
      </c>
      <c r="S92" s="84" t="str">
        <f t="shared" si="79"/>
        <v/>
      </c>
      <c r="T92" s="84" t="str">
        <f t="shared" si="80"/>
        <v/>
      </c>
      <c r="U92" s="84" t="str">
        <f t="shared" si="81"/>
        <v/>
      </c>
      <c r="V92" s="84" t="str">
        <f t="shared" si="82"/>
        <v/>
      </c>
      <c r="W92" s="84" t="str">
        <f t="shared" si="83"/>
        <v/>
      </c>
      <c r="X92" s="84" t="str">
        <f t="shared" si="84"/>
        <v/>
      </c>
      <c r="Y92" s="84" t="str">
        <f t="shared" si="85"/>
        <v/>
      </c>
      <c r="Z92" s="84" t="str">
        <f t="shared" si="86"/>
        <v/>
      </c>
      <c r="AA92" s="84" t="str">
        <f t="shared" si="87"/>
        <v/>
      </c>
      <c r="AB92" s="84" t="str">
        <f t="shared" si="88"/>
        <v/>
      </c>
      <c r="AC92" s="84" t="str">
        <f t="shared" si="89"/>
        <v/>
      </c>
      <c r="AD92" s="84">
        <f t="shared" si="90"/>
        <v>137.99907999999999</v>
      </c>
      <c r="AE92" s="84" t="str">
        <f t="shared" si="91"/>
        <v/>
      </c>
      <c r="AF92" s="84" t="str">
        <f t="shared" si="92"/>
        <v/>
      </c>
      <c r="AG92" s="84" t="str">
        <f t="shared" si="93"/>
        <v/>
      </c>
      <c r="AH92" s="84" t="str">
        <f t="shared" si="94"/>
        <v/>
      </c>
      <c r="AI92" s="84" t="str">
        <f t="shared" si="95"/>
        <v/>
      </c>
      <c r="AJ92" s="84">
        <f t="shared" si="96"/>
        <v>137.99907999999999</v>
      </c>
      <c r="AK92" s="84" t="str">
        <f t="shared" si="97"/>
        <v/>
      </c>
      <c r="AL92" s="84" t="str">
        <f t="shared" si="98"/>
        <v/>
      </c>
      <c r="AM92" s="84" t="str">
        <f t="shared" si="99"/>
        <v/>
      </c>
      <c r="AN92" s="84" t="str">
        <f t="shared" si="100"/>
        <v/>
      </c>
      <c r="AO92" s="84" t="str">
        <f t="shared" si="101"/>
        <v/>
      </c>
      <c r="AP92" s="84">
        <f t="shared" si="102"/>
        <v>137.99907999999999</v>
      </c>
      <c r="AQ92" s="84" t="str">
        <f t="shared" si="103"/>
        <v/>
      </c>
      <c r="AR92" s="84" t="str">
        <f t="shared" si="104"/>
        <v/>
      </c>
      <c r="AS92" s="84" t="str">
        <f t="shared" si="105"/>
        <v/>
      </c>
      <c r="AT92" s="84" t="str">
        <f t="shared" si="106"/>
        <v/>
      </c>
      <c r="AU92" s="84" t="str">
        <f t="shared" si="107"/>
        <v/>
      </c>
    </row>
    <row r="93" spans="1:47" ht="19" customHeight="1" x14ac:dyDescent="0.3">
      <c r="A93" s="75" t="s">
        <v>45</v>
      </c>
      <c r="B93" s="75"/>
      <c r="C93" s="75"/>
      <c r="D93" s="89">
        <f>持有情况!AU22-ROW()*0.00001</f>
        <v>137.99906999999999</v>
      </c>
      <c r="E93" s="90">
        <v>0</v>
      </c>
      <c r="F93" s="90">
        <v>0</v>
      </c>
      <c r="G93" s="89">
        <v>2</v>
      </c>
      <c r="H93" s="89">
        <v>1</v>
      </c>
      <c r="I93" s="1"/>
      <c r="J93" s="89">
        <f>IF(路线!C6="计算",INT((6.4/100)*路线!B12+11*路线!B33+4*路线!B17+30+20)-ROW()*0.00001,INT((6.4/100)*路线!B12+11*路线!B33+4*路线!B17+30)-ROW()*0.00001)</f>
        <v>148.99906999999999</v>
      </c>
      <c r="K93" s="1"/>
      <c r="L93" s="84" t="str">
        <f t="shared" si="72"/>
        <v/>
      </c>
      <c r="M93" s="84" t="str">
        <f t="shared" si="73"/>
        <v/>
      </c>
      <c r="N93" s="84" t="str">
        <f t="shared" si="74"/>
        <v/>
      </c>
      <c r="O93" s="84">
        <f t="shared" si="75"/>
        <v>137.99906999999999</v>
      </c>
      <c r="P93" s="84">
        <f t="shared" si="76"/>
        <v>137.99906999999999</v>
      </c>
      <c r="Q93" s="84">
        <f t="shared" si="77"/>
        <v>137.99906999999999</v>
      </c>
      <c r="R93" s="84" t="str">
        <f t="shared" si="78"/>
        <v/>
      </c>
      <c r="S93" s="84" t="str">
        <f t="shared" si="79"/>
        <v/>
      </c>
      <c r="T93" s="84" t="str">
        <f t="shared" si="80"/>
        <v/>
      </c>
      <c r="U93" s="84" t="str">
        <f t="shared" si="81"/>
        <v/>
      </c>
      <c r="V93" s="84" t="str">
        <f t="shared" si="82"/>
        <v/>
      </c>
      <c r="W93" s="84" t="str">
        <f t="shared" si="83"/>
        <v/>
      </c>
      <c r="X93" s="84" t="str">
        <f t="shared" si="84"/>
        <v/>
      </c>
      <c r="Y93" s="84" t="str">
        <f t="shared" si="85"/>
        <v/>
      </c>
      <c r="Z93" s="84" t="str">
        <f t="shared" si="86"/>
        <v/>
      </c>
      <c r="AA93" s="84" t="str">
        <f t="shared" si="87"/>
        <v/>
      </c>
      <c r="AB93" s="84" t="str">
        <f t="shared" si="88"/>
        <v/>
      </c>
      <c r="AC93" s="84" t="str">
        <f t="shared" si="89"/>
        <v/>
      </c>
      <c r="AD93" s="84" t="str">
        <f t="shared" si="90"/>
        <v/>
      </c>
      <c r="AE93" s="84">
        <f t="shared" si="91"/>
        <v>148.99906999999999</v>
      </c>
      <c r="AF93" s="84" t="str">
        <f t="shared" si="92"/>
        <v/>
      </c>
      <c r="AG93" s="84" t="str">
        <f t="shared" si="93"/>
        <v/>
      </c>
      <c r="AH93" s="84" t="str">
        <f t="shared" si="94"/>
        <v/>
      </c>
      <c r="AI93" s="84" t="str">
        <f t="shared" si="95"/>
        <v/>
      </c>
      <c r="AJ93" s="84" t="str">
        <f t="shared" si="96"/>
        <v/>
      </c>
      <c r="AK93" s="84">
        <f t="shared" si="97"/>
        <v>148.99906999999999</v>
      </c>
      <c r="AL93" s="84" t="str">
        <f t="shared" si="98"/>
        <v/>
      </c>
      <c r="AM93" s="84" t="str">
        <f t="shared" si="99"/>
        <v/>
      </c>
      <c r="AN93" s="84" t="str">
        <f t="shared" si="100"/>
        <v/>
      </c>
      <c r="AO93" s="84" t="str">
        <f t="shared" si="101"/>
        <v/>
      </c>
      <c r="AP93" s="84" t="str">
        <f t="shared" si="102"/>
        <v/>
      </c>
      <c r="AQ93" s="84">
        <f t="shared" si="103"/>
        <v>148.99906999999999</v>
      </c>
      <c r="AR93" s="84" t="str">
        <f t="shared" si="104"/>
        <v/>
      </c>
      <c r="AS93" s="84" t="str">
        <f t="shared" si="105"/>
        <v/>
      </c>
      <c r="AT93" s="84" t="str">
        <f t="shared" si="106"/>
        <v/>
      </c>
      <c r="AU93" s="84" t="str">
        <f t="shared" si="107"/>
        <v/>
      </c>
    </row>
    <row r="94" spans="1:47" ht="19" customHeight="1" x14ac:dyDescent="0.3">
      <c r="A94" s="57" t="s">
        <v>81</v>
      </c>
      <c r="B94" s="57"/>
      <c r="C94" s="57"/>
      <c r="D94" s="89">
        <f>持有情况!AK52-ROW()*0.00001</f>
        <v>102.99906</v>
      </c>
      <c r="E94" s="89">
        <v>2</v>
      </c>
      <c r="F94" s="90">
        <v>0</v>
      </c>
      <c r="G94" s="89">
        <v>1</v>
      </c>
      <c r="H94" s="90">
        <v>0</v>
      </c>
      <c r="I94" s="1"/>
      <c r="J94" s="89">
        <f>INT(45+8*路线!B39+4*路线!B17+30)-ROW()*0.00001</f>
        <v>102.99906</v>
      </c>
      <c r="K94" s="1"/>
      <c r="L94" s="84" t="str">
        <f t="shared" si="72"/>
        <v/>
      </c>
      <c r="M94" s="84">
        <f t="shared" si="73"/>
        <v>102.99906</v>
      </c>
      <c r="N94" s="84" t="str">
        <f t="shared" si="74"/>
        <v/>
      </c>
      <c r="O94" s="84" t="str">
        <f t="shared" si="75"/>
        <v/>
      </c>
      <c r="P94" s="84" t="str">
        <f t="shared" si="76"/>
        <v/>
      </c>
      <c r="Q94" s="84" t="str">
        <f t="shared" si="77"/>
        <v/>
      </c>
      <c r="R94" s="84" t="str">
        <f t="shared" si="78"/>
        <v/>
      </c>
      <c r="S94" s="84" t="str">
        <f t="shared" si="79"/>
        <v/>
      </c>
      <c r="T94" s="84" t="str">
        <f t="shared" si="80"/>
        <v/>
      </c>
      <c r="U94" s="84" t="str">
        <f t="shared" si="81"/>
        <v/>
      </c>
      <c r="V94" s="84" t="str">
        <f t="shared" si="82"/>
        <v/>
      </c>
      <c r="W94" s="84" t="str">
        <f t="shared" si="83"/>
        <v/>
      </c>
      <c r="X94" s="84" t="str">
        <f t="shared" si="84"/>
        <v/>
      </c>
      <c r="Y94" s="84" t="str">
        <f t="shared" si="85"/>
        <v/>
      </c>
      <c r="Z94" s="84" t="str">
        <f t="shared" si="86"/>
        <v/>
      </c>
      <c r="AA94" s="84" t="str">
        <f t="shared" si="87"/>
        <v/>
      </c>
      <c r="AB94" s="84" t="str">
        <f t="shared" si="88"/>
        <v/>
      </c>
      <c r="AC94" s="84" t="str">
        <f t="shared" si="89"/>
        <v/>
      </c>
      <c r="AD94" s="84" t="str">
        <f t="shared" si="90"/>
        <v/>
      </c>
      <c r="AE94" s="84" t="str">
        <f t="shared" si="91"/>
        <v/>
      </c>
      <c r="AF94" s="84" t="str">
        <f t="shared" si="92"/>
        <v/>
      </c>
      <c r="AG94" s="84" t="str">
        <f t="shared" si="93"/>
        <v/>
      </c>
      <c r="AH94" s="84" t="str">
        <f t="shared" si="94"/>
        <v/>
      </c>
      <c r="AI94" s="84" t="str">
        <f t="shared" si="95"/>
        <v/>
      </c>
      <c r="AJ94" s="84">
        <f t="shared" si="96"/>
        <v>102.99906</v>
      </c>
      <c r="AK94" s="84" t="str">
        <f t="shared" si="97"/>
        <v/>
      </c>
      <c r="AL94" s="84" t="str">
        <f t="shared" si="98"/>
        <v/>
      </c>
      <c r="AM94" s="84" t="str">
        <f t="shared" si="99"/>
        <v/>
      </c>
      <c r="AN94" s="84" t="str">
        <f t="shared" si="100"/>
        <v/>
      </c>
      <c r="AO94" s="84" t="str">
        <f t="shared" si="101"/>
        <v/>
      </c>
      <c r="AP94" s="84" t="str">
        <f t="shared" si="102"/>
        <v/>
      </c>
      <c r="AQ94" s="84" t="str">
        <f t="shared" si="103"/>
        <v/>
      </c>
      <c r="AR94" s="84" t="str">
        <f t="shared" si="104"/>
        <v/>
      </c>
      <c r="AS94" s="84" t="str">
        <f t="shared" si="105"/>
        <v/>
      </c>
      <c r="AT94" s="84" t="str">
        <f t="shared" si="106"/>
        <v/>
      </c>
      <c r="AU94" s="84" t="str">
        <f t="shared" si="107"/>
        <v/>
      </c>
    </row>
    <row r="95" spans="1:47" ht="19" customHeight="1" x14ac:dyDescent="0.3">
      <c r="A95" s="57" t="s">
        <v>94</v>
      </c>
      <c r="B95" s="57"/>
      <c r="C95" s="57"/>
      <c r="D95" s="89">
        <f>持有情况!AK64-ROW()*0.00001</f>
        <v>118.99905</v>
      </c>
      <c r="E95" s="90">
        <v>0</v>
      </c>
      <c r="F95" s="89">
        <v>1</v>
      </c>
      <c r="G95" s="89">
        <v>1</v>
      </c>
      <c r="H95" s="90">
        <v>0</v>
      </c>
      <c r="I95" s="1"/>
      <c r="J95" s="89">
        <f>INT(45+2*(路线!B23+路线!B24)+30)-ROW()*0.00001</f>
        <v>118.99905</v>
      </c>
      <c r="K95" s="1"/>
      <c r="L95" s="84">
        <f t="shared" si="72"/>
        <v>118.99905</v>
      </c>
      <c r="M95" s="84">
        <f t="shared" si="73"/>
        <v>118.99905</v>
      </c>
      <c r="N95" s="84">
        <f t="shared" si="74"/>
        <v>118.99905</v>
      </c>
      <c r="O95" s="84" t="str">
        <f t="shared" si="75"/>
        <v/>
      </c>
      <c r="P95" s="84" t="str">
        <f t="shared" si="76"/>
        <v/>
      </c>
      <c r="Q95" s="84" t="str">
        <f t="shared" si="77"/>
        <v/>
      </c>
      <c r="R95" s="84" t="str">
        <f t="shared" si="78"/>
        <v/>
      </c>
      <c r="S95" s="84" t="str">
        <f t="shared" si="79"/>
        <v/>
      </c>
      <c r="T95" s="84" t="str">
        <f t="shared" si="80"/>
        <v/>
      </c>
      <c r="U95" s="84">
        <f t="shared" si="81"/>
        <v>118.99905</v>
      </c>
      <c r="V95" s="84" t="str">
        <f t="shared" si="82"/>
        <v/>
      </c>
      <c r="W95" s="84" t="str">
        <f t="shared" si="83"/>
        <v/>
      </c>
      <c r="X95" s="84">
        <f t="shared" si="84"/>
        <v>118.99905</v>
      </c>
      <c r="Y95" s="84" t="str">
        <f t="shared" si="85"/>
        <v/>
      </c>
      <c r="Z95" s="84" t="str">
        <f t="shared" si="86"/>
        <v/>
      </c>
      <c r="AA95" s="84">
        <f t="shared" si="87"/>
        <v>118.99905</v>
      </c>
      <c r="AB95" s="84" t="str">
        <f t="shared" si="88"/>
        <v/>
      </c>
      <c r="AC95" s="84" t="str">
        <f t="shared" si="89"/>
        <v/>
      </c>
      <c r="AD95" s="84" t="str">
        <f t="shared" si="90"/>
        <v/>
      </c>
      <c r="AE95" s="84" t="str">
        <f t="shared" si="91"/>
        <v/>
      </c>
      <c r="AF95" s="84" t="str">
        <f t="shared" si="92"/>
        <v/>
      </c>
      <c r="AG95" s="84">
        <f t="shared" si="93"/>
        <v>118.99905</v>
      </c>
      <c r="AH95" s="84" t="str">
        <f t="shared" si="94"/>
        <v/>
      </c>
      <c r="AI95" s="84" t="str">
        <f t="shared" si="95"/>
        <v/>
      </c>
      <c r="AJ95" s="84" t="str">
        <f t="shared" si="96"/>
        <v/>
      </c>
      <c r="AK95" s="84" t="str">
        <f t="shared" si="97"/>
        <v/>
      </c>
      <c r="AL95" s="84" t="str">
        <f t="shared" si="98"/>
        <v/>
      </c>
      <c r="AM95" s="84">
        <f t="shared" si="99"/>
        <v>118.99905</v>
      </c>
      <c r="AN95" s="84" t="str">
        <f t="shared" si="100"/>
        <v/>
      </c>
      <c r="AO95" s="84" t="str">
        <f t="shared" si="101"/>
        <v/>
      </c>
      <c r="AP95" s="84" t="str">
        <f t="shared" si="102"/>
        <v/>
      </c>
      <c r="AQ95" s="84" t="str">
        <f t="shared" si="103"/>
        <v/>
      </c>
      <c r="AR95" s="84" t="str">
        <f t="shared" si="104"/>
        <v/>
      </c>
      <c r="AS95" s="84">
        <f t="shared" si="105"/>
        <v>118.99905</v>
      </c>
      <c r="AT95" s="84" t="str">
        <f t="shared" si="106"/>
        <v/>
      </c>
      <c r="AU95" s="84" t="str">
        <f t="shared" si="107"/>
        <v/>
      </c>
    </row>
    <row r="96" spans="1:47" ht="19" customHeight="1" x14ac:dyDescent="0.3">
      <c r="A96" s="75" t="s">
        <v>75</v>
      </c>
      <c r="B96" s="75"/>
      <c r="C96" s="75"/>
      <c r="D96" s="89">
        <f>持有情况!AU46-ROW()*0.00001</f>
        <v>102.99903999999999</v>
      </c>
      <c r="E96" s="89">
        <v>1</v>
      </c>
      <c r="F96" s="90">
        <v>0</v>
      </c>
      <c r="G96" s="89">
        <v>2</v>
      </c>
      <c r="H96" s="90">
        <v>0</v>
      </c>
      <c r="I96" s="1"/>
      <c r="J96" s="89">
        <f>INT(45+8*路线!B39+4*路线!B17+30)-ROW()*0.00001</f>
        <v>102.99903999999999</v>
      </c>
      <c r="K96" s="1"/>
      <c r="L96" s="84" t="str">
        <f t="shared" si="72"/>
        <v/>
      </c>
      <c r="M96" s="84" t="str">
        <f t="shared" si="73"/>
        <v/>
      </c>
      <c r="N96" s="84" t="str">
        <f t="shared" si="74"/>
        <v/>
      </c>
      <c r="O96" s="84">
        <f t="shared" si="75"/>
        <v>102.99903999999999</v>
      </c>
      <c r="P96" s="84" t="str">
        <f t="shared" si="76"/>
        <v/>
      </c>
      <c r="Q96" s="84" t="str">
        <f t="shared" si="77"/>
        <v/>
      </c>
      <c r="R96" s="84" t="str">
        <f t="shared" si="78"/>
        <v/>
      </c>
      <c r="S96" s="84" t="str">
        <f t="shared" si="79"/>
        <v/>
      </c>
      <c r="T96" s="84" t="str">
        <f t="shared" si="80"/>
        <v/>
      </c>
      <c r="U96" s="84" t="str">
        <f t="shared" si="81"/>
        <v/>
      </c>
      <c r="V96" s="84" t="str">
        <f t="shared" si="82"/>
        <v/>
      </c>
      <c r="W96" s="84" t="str">
        <f t="shared" si="83"/>
        <v/>
      </c>
      <c r="X96" s="84" t="str">
        <f t="shared" si="84"/>
        <v/>
      </c>
      <c r="Y96" s="84" t="str">
        <f t="shared" si="85"/>
        <v/>
      </c>
      <c r="Z96" s="84" t="str">
        <f t="shared" si="86"/>
        <v/>
      </c>
      <c r="AA96" s="84" t="str">
        <f t="shared" si="87"/>
        <v/>
      </c>
      <c r="AB96" s="84" t="str">
        <f t="shared" si="88"/>
        <v/>
      </c>
      <c r="AC96" s="84" t="str">
        <f t="shared" si="89"/>
        <v/>
      </c>
      <c r="AD96" s="84" t="str">
        <f t="shared" si="90"/>
        <v/>
      </c>
      <c r="AE96" s="84">
        <f t="shared" si="91"/>
        <v>102.99903999999999</v>
      </c>
      <c r="AF96" s="84" t="str">
        <f t="shared" si="92"/>
        <v/>
      </c>
      <c r="AG96" s="84" t="str">
        <f t="shared" si="93"/>
        <v/>
      </c>
      <c r="AH96" s="84" t="str">
        <f t="shared" si="94"/>
        <v/>
      </c>
      <c r="AI96" s="84" t="str">
        <f t="shared" si="95"/>
        <v/>
      </c>
      <c r="AJ96" s="84" t="str">
        <f t="shared" si="96"/>
        <v/>
      </c>
      <c r="AK96" s="84" t="str">
        <f t="shared" si="97"/>
        <v/>
      </c>
      <c r="AL96" s="84" t="str">
        <f t="shared" si="98"/>
        <v/>
      </c>
      <c r="AM96" s="84" t="str">
        <f t="shared" si="99"/>
        <v/>
      </c>
      <c r="AN96" s="84" t="str">
        <f t="shared" si="100"/>
        <v/>
      </c>
      <c r="AO96" s="84" t="str">
        <f t="shared" si="101"/>
        <v/>
      </c>
      <c r="AP96" s="84" t="str">
        <f t="shared" si="102"/>
        <v/>
      </c>
      <c r="AQ96" s="84" t="str">
        <f t="shared" si="103"/>
        <v/>
      </c>
      <c r="AR96" s="84" t="str">
        <f t="shared" si="104"/>
        <v/>
      </c>
      <c r="AS96" s="84" t="str">
        <f t="shared" si="105"/>
        <v/>
      </c>
      <c r="AT96" s="84" t="str">
        <f t="shared" si="106"/>
        <v/>
      </c>
      <c r="AU96" s="84" t="str">
        <f t="shared" si="107"/>
        <v/>
      </c>
    </row>
    <row r="97" spans="1:47" ht="19" customHeight="1" x14ac:dyDescent="0.3">
      <c r="A97" s="75" t="s">
        <v>52</v>
      </c>
      <c r="B97" s="75"/>
      <c r="C97" s="75"/>
      <c r="D97" s="89">
        <f>持有情况!AU28-ROW()*0.00001</f>
        <v>140.99903</v>
      </c>
      <c r="E97" s="89">
        <v>1</v>
      </c>
      <c r="F97" s="90">
        <v>0</v>
      </c>
      <c r="G97" s="89">
        <v>2</v>
      </c>
      <c r="H97" s="89">
        <v>1</v>
      </c>
      <c r="I97" s="84" t="s">
        <v>336</v>
      </c>
      <c r="J97" s="89">
        <f>IF(路线!C6="计算",INT(45+17*路线!B32+4*路线!B17+30+20)-ROW()*0.00001,INT(45+17*路线!B32+4*路线!B17+30)-ROW()*0.00001)</f>
        <v>140.99903</v>
      </c>
      <c r="K97" s="1"/>
      <c r="L97" s="84" t="str">
        <f t="shared" si="72"/>
        <v/>
      </c>
      <c r="M97" s="84" t="str">
        <f t="shared" si="73"/>
        <v/>
      </c>
      <c r="N97" s="84" t="str">
        <f t="shared" si="74"/>
        <v/>
      </c>
      <c r="O97" s="84">
        <f t="shared" si="75"/>
        <v>140.99903</v>
      </c>
      <c r="P97" s="84" t="str">
        <f t="shared" si="76"/>
        <v/>
      </c>
      <c r="Q97" s="84" t="str">
        <f t="shared" si="77"/>
        <v/>
      </c>
      <c r="R97" s="84" t="str">
        <f t="shared" si="78"/>
        <v/>
      </c>
      <c r="S97" s="84" t="str">
        <f t="shared" si="79"/>
        <v/>
      </c>
      <c r="T97" s="84" t="str">
        <f t="shared" si="80"/>
        <v/>
      </c>
      <c r="U97" s="84" t="str">
        <f t="shared" si="81"/>
        <v/>
      </c>
      <c r="V97" s="84" t="str">
        <f t="shared" si="82"/>
        <v/>
      </c>
      <c r="W97" s="84" t="str">
        <f t="shared" si="83"/>
        <v/>
      </c>
      <c r="X97" s="84" t="str">
        <f t="shared" si="84"/>
        <v/>
      </c>
      <c r="Y97" s="84" t="str">
        <f t="shared" si="85"/>
        <v/>
      </c>
      <c r="Z97" s="84" t="str">
        <f t="shared" si="86"/>
        <v/>
      </c>
      <c r="AA97" s="84" t="str">
        <f t="shared" si="87"/>
        <v/>
      </c>
      <c r="AB97" s="84" t="str">
        <f t="shared" si="88"/>
        <v/>
      </c>
      <c r="AC97" s="84" t="str">
        <f t="shared" si="89"/>
        <v/>
      </c>
      <c r="AD97" s="84" t="str">
        <f t="shared" si="90"/>
        <v/>
      </c>
      <c r="AE97" s="84">
        <f t="shared" si="91"/>
        <v>140.99903</v>
      </c>
      <c r="AF97" s="84" t="str">
        <f t="shared" si="92"/>
        <v/>
      </c>
      <c r="AG97" s="84" t="str">
        <f t="shared" si="93"/>
        <v/>
      </c>
      <c r="AH97" s="84" t="str">
        <f t="shared" si="94"/>
        <v/>
      </c>
      <c r="AI97" s="84" t="str">
        <f t="shared" si="95"/>
        <v/>
      </c>
      <c r="AJ97" s="84" t="str">
        <f t="shared" si="96"/>
        <v/>
      </c>
      <c r="AK97" s="84" t="str">
        <f t="shared" si="97"/>
        <v/>
      </c>
      <c r="AL97" s="84" t="str">
        <f t="shared" si="98"/>
        <v/>
      </c>
      <c r="AM97" s="84" t="str">
        <f t="shared" si="99"/>
        <v/>
      </c>
      <c r="AN97" s="84" t="str">
        <f t="shared" si="100"/>
        <v/>
      </c>
      <c r="AO97" s="84" t="str">
        <f t="shared" si="101"/>
        <v/>
      </c>
      <c r="AP97" s="84" t="str">
        <f t="shared" si="102"/>
        <v/>
      </c>
      <c r="AQ97" s="84" t="str">
        <f t="shared" si="103"/>
        <v/>
      </c>
      <c r="AR97" s="84" t="str">
        <f t="shared" si="104"/>
        <v/>
      </c>
      <c r="AS97" s="84" t="str">
        <f t="shared" si="105"/>
        <v/>
      </c>
      <c r="AT97" s="84" t="str">
        <f t="shared" si="106"/>
        <v/>
      </c>
      <c r="AU97" s="84" t="str">
        <f t="shared" si="107"/>
        <v/>
      </c>
    </row>
    <row r="98" spans="1:47" ht="19" customHeight="1" x14ac:dyDescent="0.3">
      <c r="A98" s="67" t="s">
        <v>46</v>
      </c>
      <c r="B98" s="67"/>
      <c r="C98" s="67"/>
      <c r="D98" s="89">
        <f>持有情况!BE22-ROW()*0.00001</f>
        <v>139.99902</v>
      </c>
      <c r="E98" s="90">
        <v>0</v>
      </c>
      <c r="F98" s="90">
        <v>0</v>
      </c>
      <c r="G98" s="89">
        <v>3</v>
      </c>
      <c r="H98" s="89">
        <v>1</v>
      </c>
      <c r="I98" s="1"/>
      <c r="J98" s="89">
        <f>IF(路线!C6="计算",INT(45+11*路线!B34+4*路线!B17+30+20)-ROW()*0.00001,INT(45+11*路线!B34+4*路线!B17+30)-ROW()*0.00001)</f>
        <v>139.99902</v>
      </c>
      <c r="K98" s="1"/>
      <c r="L98" s="84" t="str">
        <f t="shared" ref="L98:L110" si="108">IF(AND(OR(E98=1,E98=0),G98=1),D98,"")</f>
        <v/>
      </c>
      <c r="M98" s="84" t="str">
        <f t="shared" ref="M98:M110" si="109">IF(AND(OR(E98=2,E98=0),G98=1),D98,"")</f>
        <v/>
      </c>
      <c r="N98" s="84" t="str">
        <f t="shared" ref="N98:N110" si="110">IF(AND(OR(E98=3,E98=0),G98=1),D98,"")</f>
        <v/>
      </c>
      <c r="O98" s="84" t="str">
        <f t="shared" ref="O98:O110" si="111">IF(AND(OR(E98=1,E98=0),G98=2),D98,"")</f>
        <v/>
      </c>
      <c r="P98" s="84" t="str">
        <f t="shared" ref="P98:P110" si="112">IF(AND(OR(E98=2,E98=0),G98=2),D98,"")</f>
        <v/>
      </c>
      <c r="Q98" s="84" t="str">
        <f t="shared" ref="Q98:Q110" si="113">IF(AND(OR(E98=3,E98=0),G98=2),D98,"")</f>
        <v/>
      </c>
      <c r="R98" s="84">
        <f t="shared" ref="R98:R110" si="114">IF(AND(OR(E98=1,E98=0),G98=3),D98,"")</f>
        <v>139.99902</v>
      </c>
      <c r="S98" s="84">
        <f t="shared" ref="S98:S110" si="115">IF(AND(OR(E98=2,E98=0),G98=3),D98,"")</f>
        <v>139.99902</v>
      </c>
      <c r="T98" s="84">
        <f t="shared" ref="T98:T110" si="116">IF(AND(OR(E98=3,E98=0),G98=3),D98,"")</f>
        <v>139.99902</v>
      </c>
      <c r="U98" s="84" t="str">
        <f t="shared" ref="U98:U110" si="117">IF(AND(OR(E98=1,E98=0),G98=1,F98=1),D98,"")</f>
        <v/>
      </c>
      <c r="V98" s="84" t="str">
        <f t="shared" ref="V98:V110" si="118">IF(AND(OR(E98=1,E98=0),G98=2,F98=1),D98,"")</f>
        <v/>
      </c>
      <c r="W98" s="84" t="str">
        <f t="shared" ref="W98:W110" si="119">IF(AND(OR(E98=1,E98=0),G98=3,F98=1),D98,"")</f>
        <v/>
      </c>
      <c r="X98" s="84" t="str">
        <f t="shared" ref="X98:X110" si="120">IF(AND(OR(E98=2,E98=0),G98=1,F98=1),D98,"")</f>
        <v/>
      </c>
      <c r="Y98" s="84" t="str">
        <f t="shared" ref="Y98:Y110" si="121">IF(AND(OR(E98=2,E98=0),G98=2,F98=1),D98,"")</f>
        <v/>
      </c>
      <c r="Z98" s="84" t="str">
        <f t="shared" ref="Z98:Z110" si="122">IF(AND(OR(E98=2,E98=0),G98=3,F98=1),D98,"")</f>
        <v/>
      </c>
      <c r="AA98" s="84" t="str">
        <f t="shared" ref="AA98:AA110" si="123">IF(AND(OR(E98=3,E98=0),G98=1,F98=1),D98,"")</f>
        <v/>
      </c>
      <c r="AB98" s="84" t="str">
        <f t="shared" ref="AB98:AB110" si="124">IF(AND(OR(E98=3,E98=0),G98=2,F98=1),D98,"")</f>
        <v/>
      </c>
      <c r="AC98" s="84" t="str">
        <f t="shared" ref="AC98:AC110" si="125">IF(AND(OR(E98=3,E98=0),G98=3,F98=1),D98,"")</f>
        <v/>
      </c>
      <c r="AD98" s="84" t="str">
        <f t="shared" ref="AD98:AD110" si="126">IF(AND(OR(E98=1,E98=0),G98=1,F98=0),J98,"")</f>
        <v/>
      </c>
      <c r="AE98" s="84" t="str">
        <f t="shared" ref="AE98:AE110" si="127">IF(AND(OR(E98=1,E98=0),G98=2,F98=0),J98,"")</f>
        <v/>
      </c>
      <c r="AF98" s="84">
        <f t="shared" ref="AF98:AF110" si="128">IF(AND(OR(E98=1,E98=0),G98=3,F98=0),J98,"")</f>
        <v>139.99902</v>
      </c>
      <c r="AG98" s="84" t="str">
        <f t="shared" ref="AG98:AG110" si="129">IF(AND(OR(E98=1,E98=0),G98=1,F98=1),J98,"")</f>
        <v/>
      </c>
      <c r="AH98" s="84" t="str">
        <f t="shared" ref="AH98:AH110" si="130">IF(AND(OR(E98=1,E98=0),G98=2,F98=1),J98,"")</f>
        <v/>
      </c>
      <c r="AI98" s="84" t="str">
        <f t="shared" ref="AI98:AI110" si="131">IF(AND(OR(E98=1,E98=0),G98=3,F98=1),J98,"")</f>
        <v/>
      </c>
      <c r="AJ98" s="84" t="str">
        <f t="shared" ref="AJ98:AJ110" si="132">IF(AND(OR(E98=2,E98=0),G98=1,F98=0),J98,"")</f>
        <v/>
      </c>
      <c r="AK98" s="84" t="str">
        <f t="shared" ref="AK98:AK110" si="133">IF(AND(OR(E98=2,E98=0),G98=2,F98=0),J98,"")</f>
        <v/>
      </c>
      <c r="AL98" s="84">
        <f t="shared" ref="AL98:AL110" si="134">IF(AND(OR(E98=2,E98=0),G98=3,F98=0),J98,"")</f>
        <v>139.99902</v>
      </c>
      <c r="AM98" s="84" t="str">
        <f t="shared" ref="AM98:AM110" si="135">IF(AND(OR(E98=2,E98=0),G98=1,F98=1),J98,"")</f>
        <v/>
      </c>
      <c r="AN98" s="84" t="str">
        <f t="shared" ref="AN98:AN110" si="136">IF(AND(OR(E98=2,E98=0),G98=2,F98=1),J98,"")</f>
        <v/>
      </c>
      <c r="AO98" s="84" t="str">
        <f t="shared" ref="AO98:AO110" si="137">IF(AND(OR(E98=2,E98=0),G98=3,F98=1),J98,"")</f>
        <v/>
      </c>
      <c r="AP98" s="84" t="str">
        <f t="shared" ref="AP98:AP110" si="138">IF(AND(OR(E98=3,E98=0),G98=1,F98=0),J98,"")</f>
        <v/>
      </c>
      <c r="AQ98" s="84" t="str">
        <f t="shared" ref="AQ98:AQ110" si="139">IF(AND(OR(E98=3,E98=0),G98=2,F98=0),J98,"")</f>
        <v/>
      </c>
      <c r="AR98" s="84">
        <f t="shared" ref="AR98:AR110" si="140">IF(AND(OR(E98=3,E98=0),G98=3,F98=0),J98,"")</f>
        <v>139.99902</v>
      </c>
      <c r="AS98" s="84" t="str">
        <f t="shared" ref="AS98:AS110" si="141">IF(AND(OR(E98=3,E98=0),G98=1,F98=1),J98,"")</f>
        <v/>
      </c>
      <c r="AT98" s="84" t="str">
        <f t="shared" ref="AT98:AT110" si="142">IF(AND(OR(E98=3,E98=0),G98=2,F98=1),J98,"")</f>
        <v/>
      </c>
      <c r="AU98" s="84" t="str">
        <f t="shared" ref="AU98:AU110" si="143">IF(AND(OR(E98=3,E98=0),G98=3,F98=1),J98,"")</f>
        <v/>
      </c>
    </row>
    <row r="99" spans="1:47" ht="19" customHeight="1" x14ac:dyDescent="0.3">
      <c r="A99" s="67" t="s">
        <v>6</v>
      </c>
      <c r="B99" s="67"/>
      <c r="C99" s="67"/>
      <c r="D99" s="89">
        <f>持有情况!BE4-ROW()*0.00001</f>
        <v>120.99901</v>
      </c>
      <c r="E99" s="90">
        <v>0</v>
      </c>
      <c r="F99" s="90">
        <v>0</v>
      </c>
      <c r="G99" s="89">
        <v>3</v>
      </c>
      <c r="H99" s="90">
        <v>0</v>
      </c>
      <c r="I99" s="1"/>
      <c r="J99" s="89">
        <f>INT(45+17*路线!B32+3*(路线!B28+路线!B29)+30)-ROW()*0.00001</f>
        <v>120.99901</v>
      </c>
      <c r="K99" s="1"/>
      <c r="L99" s="84" t="str">
        <f t="shared" si="108"/>
        <v/>
      </c>
      <c r="M99" s="84" t="str">
        <f t="shared" si="109"/>
        <v/>
      </c>
      <c r="N99" s="84" t="str">
        <f t="shared" si="110"/>
        <v/>
      </c>
      <c r="O99" s="84" t="str">
        <f t="shared" si="111"/>
        <v/>
      </c>
      <c r="P99" s="84" t="str">
        <f t="shared" si="112"/>
        <v/>
      </c>
      <c r="Q99" s="84" t="str">
        <f t="shared" si="113"/>
        <v/>
      </c>
      <c r="R99" s="84">
        <f t="shared" si="114"/>
        <v>120.99901</v>
      </c>
      <c r="S99" s="84">
        <f t="shared" si="115"/>
        <v>120.99901</v>
      </c>
      <c r="T99" s="84">
        <f t="shared" si="116"/>
        <v>120.99901</v>
      </c>
      <c r="U99" s="84" t="str">
        <f t="shared" si="117"/>
        <v/>
      </c>
      <c r="V99" s="84" t="str">
        <f t="shared" si="118"/>
        <v/>
      </c>
      <c r="W99" s="84" t="str">
        <f t="shared" si="119"/>
        <v/>
      </c>
      <c r="X99" s="84" t="str">
        <f t="shared" si="120"/>
        <v/>
      </c>
      <c r="Y99" s="84" t="str">
        <f t="shared" si="121"/>
        <v/>
      </c>
      <c r="Z99" s="84" t="str">
        <f t="shared" si="122"/>
        <v/>
      </c>
      <c r="AA99" s="84" t="str">
        <f t="shared" si="123"/>
        <v/>
      </c>
      <c r="AB99" s="84" t="str">
        <f t="shared" si="124"/>
        <v/>
      </c>
      <c r="AC99" s="84" t="str">
        <f t="shared" si="125"/>
        <v/>
      </c>
      <c r="AD99" s="84" t="str">
        <f t="shared" si="126"/>
        <v/>
      </c>
      <c r="AE99" s="84" t="str">
        <f t="shared" si="127"/>
        <v/>
      </c>
      <c r="AF99" s="84">
        <f t="shared" si="128"/>
        <v>120.99901</v>
      </c>
      <c r="AG99" s="84" t="str">
        <f t="shared" si="129"/>
        <v/>
      </c>
      <c r="AH99" s="84" t="str">
        <f t="shared" si="130"/>
        <v/>
      </c>
      <c r="AI99" s="84" t="str">
        <f t="shared" si="131"/>
        <v/>
      </c>
      <c r="AJ99" s="84" t="str">
        <f t="shared" si="132"/>
        <v/>
      </c>
      <c r="AK99" s="84" t="str">
        <f t="shared" si="133"/>
        <v/>
      </c>
      <c r="AL99" s="84">
        <f t="shared" si="134"/>
        <v>120.99901</v>
      </c>
      <c r="AM99" s="84" t="str">
        <f t="shared" si="135"/>
        <v/>
      </c>
      <c r="AN99" s="84" t="str">
        <f t="shared" si="136"/>
        <v/>
      </c>
      <c r="AO99" s="84" t="str">
        <f t="shared" si="137"/>
        <v/>
      </c>
      <c r="AP99" s="84" t="str">
        <f t="shared" si="138"/>
        <v/>
      </c>
      <c r="AQ99" s="84" t="str">
        <f t="shared" si="139"/>
        <v/>
      </c>
      <c r="AR99" s="84">
        <f t="shared" si="140"/>
        <v>120.99901</v>
      </c>
      <c r="AS99" s="84" t="str">
        <f t="shared" si="141"/>
        <v/>
      </c>
      <c r="AT99" s="84" t="str">
        <f t="shared" si="142"/>
        <v/>
      </c>
      <c r="AU99" s="84" t="str">
        <f t="shared" si="143"/>
        <v/>
      </c>
    </row>
    <row r="100" spans="1:47" ht="19" customHeight="1" x14ac:dyDescent="0.3">
      <c r="A100" s="75" t="s">
        <v>123</v>
      </c>
      <c r="B100" s="75"/>
      <c r="C100" s="75"/>
      <c r="D100" s="89">
        <f>持有情况!AU88-ROW()*0.00001</f>
        <v>106.999</v>
      </c>
      <c r="E100" s="90">
        <v>0</v>
      </c>
      <c r="F100" s="89">
        <v>1</v>
      </c>
      <c r="G100" s="89">
        <v>2</v>
      </c>
      <c r="H100" s="90">
        <v>0</v>
      </c>
      <c r="I100" s="1"/>
      <c r="J100" s="89">
        <f>INT(45+8*路线!B33+30)-ROW()*0.00001</f>
        <v>106.999</v>
      </c>
      <c r="K100" s="1"/>
      <c r="L100" s="84" t="str">
        <f t="shared" si="108"/>
        <v/>
      </c>
      <c r="M100" s="84" t="str">
        <f t="shared" si="109"/>
        <v/>
      </c>
      <c r="N100" s="84" t="str">
        <f t="shared" si="110"/>
        <v/>
      </c>
      <c r="O100" s="84">
        <f t="shared" si="111"/>
        <v>106.999</v>
      </c>
      <c r="P100" s="84">
        <f t="shared" si="112"/>
        <v>106.999</v>
      </c>
      <c r="Q100" s="84">
        <f t="shared" si="113"/>
        <v>106.999</v>
      </c>
      <c r="R100" s="84" t="str">
        <f t="shared" si="114"/>
        <v/>
      </c>
      <c r="S100" s="84" t="str">
        <f t="shared" si="115"/>
        <v/>
      </c>
      <c r="T100" s="84" t="str">
        <f t="shared" si="116"/>
        <v/>
      </c>
      <c r="U100" s="84" t="str">
        <f t="shared" si="117"/>
        <v/>
      </c>
      <c r="V100" s="84">
        <f t="shared" si="118"/>
        <v>106.999</v>
      </c>
      <c r="W100" s="84" t="str">
        <f t="shared" si="119"/>
        <v/>
      </c>
      <c r="X100" s="84" t="str">
        <f t="shared" si="120"/>
        <v/>
      </c>
      <c r="Y100" s="84">
        <f t="shared" si="121"/>
        <v>106.999</v>
      </c>
      <c r="Z100" s="84" t="str">
        <f t="shared" si="122"/>
        <v/>
      </c>
      <c r="AA100" s="84" t="str">
        <f t="shared" si="123"/>
        <v/>
      </c>
      <c r="AB100" s="84">
        <f t="shared" si="124"/>
        <v>106.999</v>
      </c>
      <c r="AC100" s="84" t="str">
        <f t="shared" si="125"/>
        <v/>
      </c>
      <c r="AD100" s="84" t="str">
        <f t="shared" si="126"/>
        <v/>
      </c>
      <c r="AE100" s="84" t="str">
        <f t="shared" si="127"/>
        <v/>
      </c>
      <c r="AF100" s="84" t="str">
        <f t="shared" si="128"/>
        <v/>
      </c>
      <c r="AG100" s="84" t="str">
        <f t="shared" si="129"/>
        <v/>
      </c>
      <c r="AH100" s="84">
        <f t="shared" si="130"/>
        <v>106.999</v>
      </c>
      <c r="AI100" s="84" t="str">
        <f t="shared" si="131"/>
        <v/>
      </c>
      <c r="AJ100" s="84" t="str">
        <f t="shared" si="132"/>
        <v/>
      </c>
      <c r="AK100" s="84" t="str">
        <f t="shared" si="133"/>
        <v/>
      </c>
      <c r="AL100" s="84" t="str">
        <f t="shared" si="134"/>
        <v/>
      </c>
      <c r="AM100" s="84" t="str">
        <f t="shared" si="135"/>
        <v/>
      </c>
      <c r="AN100" s="84">
        <f t="shared" si="136"/>
        <v>106.999</v>
      </c>
      <c r="AO100" s="84" t="str">
        <f t="shared" si="137"/>
        <v/>
      </c>
      <c r="AP100" s="84" t="str">
        <f t="shared" si="138"/>
        <v/>
      </c>
      <c r="AQ100" s="84" t="str">
        <f t="shared" si="139"/>
        <v/>
      </c>
      <c r="AR100" s="84" t="str">
        <f t="shared" si="140"/>
        <v/>
      </c>
      <c r="AS100" s="84" t="str">
        <f t="shared" si="141"/>
        <v/>
      </c>
      <c r="AT100" s="84">
        <f t="shared" si="142"/>
        <v>106.999</v>
      </c>
      <c r="AU100" s="84" t="str">
        <f t="shared" si="143"/>
        <v/>
      </c>
    </row>
    <row r="101" spans="1:47" ht="19" customHeight="1" x14ac:dyDescent="0.3">
      <c r="A101" s="67" t="s">
        <v>144</v>
      </c>
      <c r="B101" s="67"/>
      <c r="C101" s="67"/>
      <c r="D101" s="89">
        <f>持有情况!AA112-ROW()*0.00001</f>
        <v>319.99898999999999</v>
      </c>
      <c r="E101" s="89">
        <v>3</v>
      </c>
      <c r="F101" s="90">
        <v>0</v>
      </c>
      <c r="G101" s="89">
        <v>3</v>
      </c>
      <c r="H101" s="90">
        <v>0</v>
      </c>
      <c r="I101" s="1"/>
      <c r="J101" s="89">
        <f>IF(路线!C6="计算",INT(60+21*IF(路线!B38&lt;=3,路线!B38,3)+17*路线!B18+22*IF(路线!B37&lt;=3,路线!B37,3)+40+40),INT(60+21*IF(路线!B38&lt;=3,路线!B38,3)+17*路线!B18+22*IF(路线!B37&lt;=3,路线!B37,3)+40))-ROW()*0.00001</f>
        <v>319.99898999999999</v>
      </c>
      <c r="K101" s="1"/>
      <c r="L101" s="84" t="str">
        <f t="shared" si="108"/>
        <v/>
      </c>
      <c r="M101" s="84" t="str">
        <f t="shared" si="109"/>
        <v/>
      </c>
      <c r="N101" s="84" t="str">
        <f t="shared" si="110"/>
        <v/>
      </c>
      <c r="O101" s="84" t="str">
        <f t="shared" si="111"/>
        <v/>
      </c>
      <c r="P101" s="84" t="str">
        <f t="shared" si="112"/>
        <v/>
      </c>
      <c r="Q101" s="84" t="str">
        <f t="shared" si="113"/>
        <v/>
      </c>
      <c r="R101" s="84" t="str">
        <f t="shared" si="114"/>
        <v/>
      </c>
      <c r="S101" s="84" t="str">
        <f t="shared" si="115"/>
        <v/>
      </c>
      <c r="T101" s="84">
        <f t="shared" si="116"/>
        <v>319.99898999999999</v>
      </c>
      <c r="U101" s="84" t="str">
        <f t="shared" si="117"/>
        <v/>
      </c>
      <c r="V101" s="84" t="str">
        <f t="shared" si="118"/>
        <v/>
      </c>
      <c r="W101" s="84" t="str">
        <f t="shared" si="119"/>
        <v/>
      </c>
      <c r="X101" s="84" t="str">
        <f t="shared" si="120"/>
        <v/>
      </c>
      <c r="Y101" s="84" t="str">
        <f t="shared" si="121"/>
        <v/>
      </c>
      <c r="Z101" s="84" t="str">
        <f t="shared" si="122"/>
        <v/>
      </c>
      <c r="AA101" s="84" t="str">
        <f t="shared" si="123"/>
        <v/>
      </c>
      <c r="AB101" s="84" t="str">
        <f t="shared" si="124"/>
        <v/>
      </c>
      <c r="AC101" s="84" t="str">
        <f t="shared" si="125"/>
        <v/>
      </c>
      <c r="AD101" s="84" t="str">
        <f t="shared" si="126"/>
        <v/>
      </c>
      <c r="AE101" s="84" t="str">
        <f t="shared" si="127"/>
        <v/>
      </c>
      <c r="AF101" s="84" t="str">
        <f t="shared" si="128"/>
        <v/>
      </c>
      <c r="AG101" s="84" t="str">
        <f t="shared" si="129"/>
        <v/>
      </c>
      <c r="AH101" s="84" t="str">
        <f t="shared" si="130"/>
        <v/>
      </c>
      <c r="AI101" s="84" t="str">
        <f t="shared" si="131"/>
        <v/>
      </c>
      <c r="AJ101" s="84" t="str">
        <f t="shared" si="132"/>
        <v/>
      </c>
      <c r="AK101" s="84" t="str">
        <f t="shared" si="133"/>
        <v/>
      </c>
      <c r="AL101" s="84" t="str">
        <f t="shared" si="134"/>
        <v/>
      </c>
      <c r="AM101" s="84" t="str">
        <f t="shared" si="135"/>
        <v/>
      </c>
      <c r="AN101" s="84" t="str">
        <f t="shared" si="136"/>
        <v/>
      </c>
      <c r="AO101" s="84" t="str">
        <f t="shared" si="137"/>
        <v/>
      </c>
      <c r="AP101" s="84" t="str">
        <f t="shared" si="138"/>
        <v/>
      </c>
      <c r="AQ101" s="84" t="str">
        <f t="shared" si="139"/>
        <v/>
      </c>
      <c r="AR101" s="84">
        <f t="shared" si="140"/>
        <v>319.99898999999999</v>
      </c>
      <c r="AS101" s="84" t="str">
        <f t="shared" si="141"/>
        <v/>
      </c>
      <c r="AT101" s="84" t="str">
        <f t="shared" si="142"/>
        <v/>
      </c>
      <c r="AU101" s="84" t="str">
        <f t="shared" si="143"/>
        <v/>
      </c>
    </row>
    <row r="102" spans="1:47" ht="19" customHeight="1" x14ac:dyDescent="0.3">
      <c r="A102" s="67" t="s">
        <v>124</v>
      </c>
      <c r="B102" s="67"/>
      <c r="C102" s="67"/>
      <c r="D102" s="89">
        <f>持有情况!BE88-ROW()*0.00001</f>
        <v>130.99897999999999</v>
      </c>
      <c r="E102" s="89">
        <v>3</v>
      </c>
      <c r="F102" s="89">
        <v>1</v>
      </c>
      <c r="G102" s="89">
        <v>3</v>
      </c>
      <c r="H102" s="90">
        <v>0</v>
      </c>
      <c r="I102" s="1"/>
      <c r="J102" s="89">
        <f>INT(45+17+13*路线!B18+30)-ROW()*0.00001</f>
        <v>130.99897999999999</v>
      </c>
      <c r="K102" s="1"/>
      <c r="L102" s="84" t="str">
        <f t="shared" si="108"/>
        <v/>
      </c>
      <c r="M102" s="84" t="str">
        <f t="shared" si="109"/>
        <v/>
      </c>
      <c r="N102" s="84" t="str">
        <f t="shared" si="110"/>
        <v/>
      </c>
      <c r="O102" s="84" t="str">
        <f t="shared" si="111"/>
        <v/>
      </c>
      <c r="P102" s="84" t="str">
        <f t="shared" si="112"/>
        <v/>
      </c>
      <c r="Q102" s="84" t="str">
        <f t="shared" si="113"/>
        <v/>
      </c>
      <c r="R102" s="84" t="str">
        <f t="shared" si="114"/>
        <v/>
      </c>
      <c r="S102" s="84" t="str">
        <f t="shared" si="115"/>
        <v/>
      </c>
      <c r="T102" s="84">
        <f t="shared" si="116"/>
        <v>130.99897999999999</v>
      </c>
      <c r="U102" s="84" t="str">
        <f t="shared" si="117"/>
        <v/>
      </c>
      <c r="V102" s="84" t="str">
        <f t="shared" si="118"/>
        <v/>
      </c>
      <c r="W102" s="84" t="str">
        <f t="shared" si="119"/>
        <v/>
      </c>
      <c r="X102" s="84" t="str">
        <f t="shared" si="120"/>
        <v/>
      </c>
      <c r="Y102" s="84" t="str">
        <f t="shared" si="121"/>
        <v/>
      </c>
      <c r="Z102" s="84" t="str">
        <f t="shared" si="122"/>
        <v/>
      </c>
      <c r="AA102" s="84" t="str">
        <f t="shared" si="123"/>
        <v/>
      </c>
      <c r="AB102" s="84" t="str">
        <f t="shared" si="124"/>
        <v/>
      </c>
      <c r="AC102" s="84">
        <f t="shared" si="125"/>
        <v>130.99897999999999</v>
      </c>
      <c r="AD102" s="84" t="str">
        <f t="shared" si="126"/>
        <v/>
      </c>
      <c r="AE102" s="84" t="str">
        <f t="shared" si="127"/>
        <v/>
      </c>
      <c r="AF102" s="84" t="str">
        <f t="shared" si="128"/>
        <v/>
      </c>
      <c r="AG102" s="84" t="str">
        <f t="shared" si="129"/>
        <v/>
      </c>
      <c r="AH102" s="84" t="str">
        <f t="shared" si="130"/>
        <v/>
      </c>
      <c r="AI102" s="84" t="str">
        <f t="shared" si="131"/>
        <v/>
      </c>
      <c r="AJ102" s="84" t="str">
        <f t="shared" si="132"/>
        <v/>
      </c>
      <c r="AK102" s="84" t="str">
        <f t="shared" si="133"/>
        <v/>
      </c>
      <c r="AL102" s="84" t="str">
        <f t="shared" si="134"/>
        <v/>
      </c>
      <c r="AM102" s="84" t="str">
        <f t="shared" si="135"/>
        <v/>
      </c>
      <c r="AN102" s="84" t="str">
        <f t="shared" si="136"/>
        <v/>
      </c>
      <c r="AO102" s="84" t="str">
        <f t="shared" si="137"/>
        <v/>
      </c>
      <c r="AP102" s="84" t="str">
        <f t="shared" si="138"/>
        <v/>
      </c>
      <c r="AQ102" s="84" t="str">
        <f t="shared" si="139"/>
        <v/>
      </c>
      <c r="AR102" s="84" t="str">
        <f t="shared" si="140"/>
        <v/>
      </c>
      <c r="AS102" s="84" t="str">
        <f t="shared" si="141"/>
        <v/>
      </c>
      <c r="AT102" s="84" t="str">
        <f t="shared" si="142"/>
        <v/>
      </c>
      <c r="AU102" s="84">
        <f t="shared" si="143"/>
        <v>130.99897999999999</v>
      </c>
    </row>
    <row r="103" spans="1:47" ht="19" customHeight="1" x14ac:dyDescent="0.3">
      <c r="A103" s="67" t="s">
        <v>148</v>
      </c>
      <c r="B103" s="67"/>
      <c r="C103" s="67"/>
      <c r="D103" s="89">
        <f>持有情况!AA118-ROW()*0.00001</f>
        <v>155.99897000000001</v>
      </c>
      <c r="E103" s="90">
        <v>0</v>
      </c>
      <c r="F103" s="90">
        <v>0</v>
      </c>
      <c r="G103" s="89">
        <v>3</v>
      </c>
      <c r="H103" s="89">
        <v>1</v>
      </c>
      <c r="I103" s="84" t="s">
        <v>337</v>
      </c>
      <c r="J103" s="89">
        <f>INT((8.5/100)*路线!B12+2*路线!B23+13*路线!B18+40)-ROW()*0.00001</f>
        <v>155.99897000000001</v>
      </c>
      <c r="K103" s="1"/>
      <c r="L103" s="84" t="str">
        <f t="shared" si="108"/>
        <v/>
      </c>
      <c r="M103" s="84" t="str">
        <f t="shared" si="109"/>
        <v/>
      </c>
      <c r="N103" s="84" t="str">
        <f t="shared" si="110"/>
        <v/>
      </c>
      <c r="O103" s="84" t="str">
        <f t="shared" si="111"/>
        <v/>
      </c>
      <c r="P103" s="84" t="str">
        <f t="shared" si="112"/>
        <v/>
      </c>
      <c r="Q103" s="84" t="str">
        <f t="shared" si="113"/>
        <v/>
      </c>
      <c r="R103" s="84">
        <f t="shared" si="114"/>
        <v>155.99897000000001</v>
      </c>
      <c r="S103" s="84">
        <f t="shared" si="115"/>
        <v>155.99897000000001</v>
      </c>
      <c r="T103" s="84">
        <f t="shared" si="116"/>
        <v>155.99897000000001</v>
      </c>
      <c r="U103" s="84" t="str">
        <f t="shared" si="117"/>
        <v/>
      </c>
      <c r="V103" s="84" t="str">
        <f t="shared" si="118"/>
        <v/>
      </c>
      <c r="W103" s="84" t="str">
        <f t="shared" si="119"/>
        <v/>
      </c>
      <c r="X103" s="84" t="str">
        <f t="shared" si="120"/>
        <v/>
      </c>
      <c r="Y103" s="84" t="str">
        <f t="shared" si="121"/>
        <v/>
      </c>
      <c r="Z103" s="84" t="str">
        <f t="shared" si="122"/>
        <v/>
      </c>
      <c r="AA103" s="84" t="str">
        <f t="shared" si="123"/>
        <v/>
      </c>
      <c r="AB103" s="84" t="str">
        <f t="shared" si="124"/>
        <v/>
      </c>
      <c r="AC103" s="84" t="str">
        <f t="shared" si="125"/>
        <v/>
      </c>
      <c r="AD103" s="84" t="str">
        <f t="shared" si="126"/>
        <v/>
      </c>
      <c r="AE103" s="84" t="str">
        <f t="shared" si="127"/>
        <v/>
      </c>
      <c r="AF103" s="84">
        <f t="shared" si="128"/>
        <v>155.99897000000001</v>
      </c>
      <c r="AG103" s="84" t="str">
        <f t="shared" si="129"/>
        <v/>
      </c>
      <c r="AH103" s="84" t="str">
        <f t="shared" si="130"/>
        <v/>
      </c>
      <c r="AI103" s="84" t="str">
        <f t="shared" si="131"/>
        <v/>
      </c>
      <c r="AJ103" s="84" t="str">
        <f t="shared" si="132"/>
        <v/>
      </c>
      <c r="AK103" s="84" t="str">
        <f t="shared" si="133"/>
        <v/>
      </c>
      <c r="AL103" s="84">
        <f t="shared" si="134"/>
        <v>155.99897000000001</v>
      </c>
      <c r="AM103" s="84" t="str">
        <f t="shared" si="135"/>
        <v/>
      </c>
      <c r="AN103" s="84" t="str">
        <f t="shared" si="136"/>
        <v/>
      </c>
      <c r="AO103" s="84" t="str">
        <f t="shared" si="137"/>
        <v/>
      </c>
      <c r="AP103" s="84" t="str">
        <f t="shared" si="138"/>
        <v/>
      </c>
      <c r="AQ103" s="84" t="str">
        <f t="shared" si="139"/>
        <v/>
      </c>
      <c r="AR103" s="84">
        <f t="shared" si="140"/>
        <v>155.99897000000001</v>
      </c>
      <c r="AS103" s="84" t="str">
        <f t="shared" si="141"/>
        <v/>
      </c>
      <c r="AT103" s="84" t="str">
        <f t="shared" si="142"/>
        <v/>
      </c>
      <c r="AU103" s="84" t="str">
        <f t="shared" si="143"/>
        <v/>
      </c>
    </row>
    <row r="104" spans="1:47" ht="19" customHeight="1" x14ac:dyDescent="0.3">
      <c r="A104" s="75" t="s">
        <v>147</v>
      </c>
      <c r="B104" s="75"/>
      <c r="C104" s="75"/>
      <c r="D104" s="89">
        <f>持有情况!Q118-ROW()*0.00001</f>
        <v>220.99896000000001</v>
      </c>
      <c r="E104" s="89">
        <v>3</v>
      </c>
      <c r="F104" s="89">
        <v>1</v>
      </c>
      <c r="G104" s="89">
        <v>2</v>
      </c>
      <c r="H104" s="89">
        <v>1</v>
      </c>
      <c r="I104" s="84" t="s">
        <v>338</v>
      </c>
      <c r="J104" s="89">
        <f>INT(60+17*路线!B18+5*路线!B40+40)-ROW()*0.00001</f>
        <v>220.99896000000001</v>
      </c>
      <c r="K104" s="1"/>
      <c r="L104" s="84" t="str">
        <f t="shared" si="108"/>
        <v/>
      </c>
      <c r="M104" s="84" t="str">
        <f t="shared" si="109"/>
        <v/>
      </c>
      <c r="N104" s="84" t="str">
        <f t="shared" si="110"/>
        <v/>
      </c>
      <c r="O104" s="84" t="str">
        <f t="shared" si="111"/>
        <v/>
      </c>
      <c r="P104" s="84" t="str">
        <f t="shared" si="112"/>
        <v/>
      </c>
      <c r="Q104" s="84">
        <f t="shared" si="113"/>
        <v>220.99896000000001</v>
      </c>
      <c r="R104" s="84" t="str">
        <f t="shared" si="114"/>
        <v/>
      </c>
      <c r="S104" s="84" t="str">
        <f t="shared" si="115"/>
        <v/>
      </c>
      <c r="T104" s="84" t="str">
        <f t="shared" si="116"/>
        <v/>
      </c>
      <c r="U104" s="84" t="str">
        <f t="shared" si="117"/>
        <v/>
      </c>
      <c r="V104" s="84" t="str">
        <f t="shared" si="118"/>
        <v/>
      </c>
      <c r="W104" s="84" t="str">
        <f t="shared" si="119"/>
        <v/>
      </c>
      <c r="X104" s="84" t="str">
        <f t="shared" si="120"/>
        <v/>
      </c>
      <c r="Y104" s="84" t="str">
        <f t="shared" si="121"/>
        <v/>
      </c>
      <c r="Z104" s="84" t="str">
        <f t="shared" si="122"/>
        <v/>
      </c>
      <c r="AA104" s="84" t="str">
        <f t="shared" si="123"/>
        <v/>
      </c>
      <c r="AB104" s="84">
        <f t="shared" si="124"/>
        <v>220.99896000000001</v>
      </c>
      <c r="AC104" s="84" t="str">
        <f t="shared" si="125"/>
        <v/>
      </c>
      <c r="AD104" s="84" t="str">
        <f t="shared" si="126"/>
        <v/>
      </c>
      <c r="AE104" s="84" t="str">
        <f t="shared" si="127"/>
        <v/>
      </c>
      <c r="AF104" s="84" t="str">
        <f t="shared" si="128"/>
        <v/>
      </c>
      <c r="AG104" s="84" t="str">
        <f t="shared" si="129"/>
        <v/>
      </c>
      <c r="AH104" s="84" t="str">
        <f t="shared" si="130"/>
        <v/>
      </c>
      <c r="AI104" s="84" t="str">
        <f t="shared" si="131"/>
        <v/>
      </c>
      <c r="AJ104" s="84" t="str">
        <f t="shared" si="132"/>
        <v/>
      </c>
      <c r="AK104" s="84" t="str">
        <f t="shared" si="133"/>
        <v/>
      </c>
      <c r="AL104" s="84" t="str">
        <f t="shared" si="134"/>
        <v/>
      </c>
      <c r="AM104" s="84" t="str">
        <f t="shared" si="135"/>
        <v/>
      </c>
      <c r="AN104" s="84" t="str">
        <f t="shared" si="136"/>
        <v/>
      </c>
      <c r="AO104" s="84" t="str">
        <f t="shared" si="137"/>
        <v/>
      </c>
      <c r="AP104" s="84" t="str">
        <f t="shared" si="138"/>
        <v/>
      </c>
      <c r="AQ104" s="84" t="str">
        <f t="shared" si="139"/>
        <v/>
      </c>
      <c r="AR104" s="84" t="str">
        <f t="shared" si="140"/>
        <v/>
      </c>
      <c r="AS104" s="84" t="str">
        <f t="shared" si="141"/>
        <v/>
      </c>
      <c r="AT104" s="84">
        <f t="shared" si="142"/>
        <v>220.99896000000001</v>
      </c>
      <c r="AU104" s="84" t="str">
        <f t="shared" si="143"/>
        <v/>
      </c>
    </row>
    <row r="105" spans="1:47" ht="19" customHeight="1" x14ac:dyDescent="0.3">
      <c r="A105" s="75" t="s">
        <v>141</v>
      </c>
      <c r="B105" s="75"/>
      <c r="C105" s="75"/>
      <c r="D105" s="89">
        <f>IF(路线!B4="计算",持有情况!AW107,持有情况!AU106)-ROW()*0.00001</f>
        <v>185.99895000000001</v>
      </c>
      <c r="E105" s="89">
        <v>3</v>
      </c>
      <c r="F105" s="89">
        <v>1</v>
      </c>
      <c r="G105" s="89">
        <v>2</v>
      </c>
      <c r="H105" s="90">
        <v>0</v>
      </c>
      <c r="I105" s="1"/>
      <c r="J105" s="89">
        <f>IF(路线!B4="计算",INT(45+3*(路线!B28+路线!B29)+13*路线!B18+30+持有情况!AW105),INT(45+3*(路线!B28+路线!B29)+13*路线!B18+30))-ROW()*0.00001</f>
        <v>185.99895000000001</v>
      </c>
      <c r="K105" s="1"/>
      <c r="L105" s="84" t="str">
        <f t="shared" si="108"/>
        <v/>
      </c>
      <c r="M105" s="84" t="str">
        <f t="shared" si="109"/>
        <v/>
      </c>
      <c r="N105" s="84" t="str">
        <f t="shared" si="110"/>
        <v/>
      </c>
      <c r="O105" s="84" t="str">
        <f t="shared" si="111"/>
        <v/>
      </c>
      <c r="P105" s="84" t="str">
        <f t="shared" si="112"/>
        <v/>
      </c>
      <c r="Q105" s="84">
        <f t="shared" si="113"/>
        <v>185.99895000000001</v>
      </c>
      <c r="R105" s="84" t="str">
        <f t="shared" si="114"/>
        <v/>
      </c>
      <c r="S105" s="84" t="str">
        <f t="shared" si="115"/>
        <v/>
      </c>
      <c r="T105" s="84" t="str">
        <f t="shared" si="116"/>
        <v/>
      </c>
      <c r="U105" s="84" t="str">
        <f t="shared" si="117"/>
        <v/>
      </c>
      <c r="V105" s="84" t="str">
        <f t="shared" si="118"/>
        <v/>
      </c>
      <c r="W105" s="84" t="str">
        <f t="shared" si="119"/>
        <v/>
      </c>
      <c r="X105" s="84" t="str">
        <f t="shared" si="120"/>
        <v/>
      </c>
      <c r="Y105" s="84" t="str">
        <f t="shared" si="121"/>
        <v/>
      </c>
      <c r="Z105" s="84" t="str">
        <f t="shared" si="122"/>
        <v/>
      </c>
      <c r="AA105" s="84" t="str">
        <f t="shared" si="123"/>
        <v/>
      </c>
      <c r="AB105" s="84">
        <f t="shared" si="124"/>
        <v>185.99895000000001</v>
      </c>
      <c r="AC105" s="84" t="str">
        <f t="shared" si="125"/>
        <v/>
      </c>
      <c r="AD105" s="84" t="str">
        <f t="shared" si="126"/>
        <v/>
      </c>
      <c r="AE105" s="84" t="str">
        <f t="shared" si="127"/>
        <v/>
      </c>
      <c r="AF105" s="84" t="str">
        <f t="shared" si="128"/>
        <v/>
      </c>
      <c r="AG105" s="84" t="str">
        <f t="shared" si="129"/>
        <v/>
      </c>
      <c r="AH105" s="84" t="str">
        <f t="shared" si="130"/>
        <v/>
      </c>
      <c r="AI105" s="84" t="str">
        <f t="shared" si="131"/>
        <v/>
      </c>
      <c r="AJ105" s="84" t="str">
        <f t="shared" si="132"/>
        <v/>
      </c>
      <c r="AK105" s="84" t="str">
        <f t="shared" si="133"/>
        <v/>
      </c>
      <c r="AL105" s="84" t="str">
        <f t="shared" si="134"/>
        <v/>
      </c>
      <c r="AM105" s="84" t="str">
        <f t="shared" si="135"/>
        <v/>
      </c>
      <c r="AN105" s="84" t="str">
        <f t="shared" si="136"/>
        <v/>
      </c>
      <c r="AO105" s="84" t="str">
        <f t="shared" si="137"/>
        <v/>
      </c>
      <c r="AP105" s="84" t="str">
        <f t="shared" si="138"/>
        <v/>
      </c>
      <c r="AQ105" s="84" t="str">
        <f t="shared" si="139"/>
        <v/>
      </c>
      <c r="AR105" s="84" t="str">
        <f t="shared" si="140"/>
        <v/>
      </c>
      <c r="AS105" s="84" t="str">
        <f t="shared" si="141"/>
        <v/>
      </c>
      <c r="AT105" s="84">
        <f t="shared" si="142"/>
        <v>185.99895000000001</v>
      </c>
      <c r="AU105" s="84" t="str">
        <f t="shared" si="143"/>
        <v/>
      </c>
    </row>
    <row r="106" spans="1:47" ht="13.5" x14ac:dyDescent="0.3">
      <c r="A106" s="66" t="s">
        <v>138</v>
      </c>
      <c r="B106" s="66"/>
      <c r="C106" s="66"/>
      <c r="D106" s="86">
        <f>持有情况!G106-ROW()*0.00001</f>
        <v>115.99894</v>
      </c>
      <c r="E106" s="86">
        <v>3</v>
      </c>
      <c r="F106" s="86">
        <v>1</v>
      </c>
      <c r="G106" s="86">
        <v>1</v>
      </c>
      <c r="H106" s="86">
        <v>1</v>
      </c>
      <c r="I106" s="86" t="s">
        <v>339</v>
      </c>
      <c r="J106" s="86">
        <f>INT(60+7*路线!B28+5*路线!B30+40)-ROW()*0.00001</f>
        <v>148.99894</v>
      </c>
      <c r="K106" s="3"/>
      <c r="L106" s="87" t="str">
        <f t="shared" si="108"/>
        <v/>
      </c>
      <c r="M106" s="87" t="str">
        <f t="shared" si="109"/>
        <v/>
      </c>
      <c r="N106" s="87">
        <f t="shared" si="110"/>
        <v>115.99894</v>
      </c>
      <c r="O106" s="87" t="str">
        <f t="shared" si="111"/>
        <v/>
      </c>
      <c r="P106" s="87" t="str">
        <f t="shared" si="112"/>
        <v/>
      </c>
      <c r="Q106" s="87" t="str">
        <f t="shared" si="113"/>
        <v/>
      </c>
      <c r="R106" s="87" t="str">
        <f t="shared" si="114"/>
        <v/>
      </c>
      <c r="S106" s="87" t="str">
        <f t="shared" si="115"/>
        <v/>
      </c>
      <c r="T106" s="87" t="str">
        <f t="shared" si="116"/>
        <v/>
      </c>
      <c r="U106" s="87" t="str">
        <f t="shared" si="117"/>
        <v/>
      </c>
      <c r="V106" s="87" t="str">
        <f t="shared" si="118"/>
        <v/>
      </c>
      <c r="W106" s="87" t="str">
        <f t="shared" si="119"/>
        <v/>
      </c>
      <c r="X106" s="87" t="str">
        <f t="shared" si="120"/>
        <v/>
      </c>
      <c r="Y106" s="87" t="str">
        <f t="shared" si="121"/>
        <v/>
      </c>
      <c r="Z106" s="87" t="str">
        <f t="shared" si="122"/>
        <v/>
      </c>
      <c r="AA106" s="87">
        <f t="shared" si="123"/>
        <v>115.99894</v>
      </c>
      <c r="AB106" s="87" t="str">
        <f t="shared" si="124"/>
        <v/>
      </c>
      <c r="AC106" s="87" t="str">
        <f t="shared" si="125"/>
        <v/>
      </c>
      <c r="AD106" s="87" t="str">
        <f t="shared" si="126"/>
        <v/>
      </c>
      <c r="AE106" s="87" t="str">
        <f t="shared" si="127"/>
        <v/>
      </c>
      <c r="AF106" s="87" t="str">
        <f t="shared" si="128"/>
        <v/>
      </c>
      <c r="AG106" s="87" t="str">
        <f t="shared" si="129"/>
        <v/>
      </c>
      <c r="AH106" s="87" t="str">
        <f t="shared" si="130"/>
        <v/>
      </c>
      <c r="AI106" s="87" t="str">
        <f t="shared" si="131"/>
        <v/>
      </c>
      <c r="AJ106" s="87" t="str">
        <f t="shared" si="132"/>
        <v/>
      </c>
      <c r="AK106" s="87" t="str">
        <f t="shared" si="133"/>
        <v/>
      </c>
      <c r="AL106" s="87" t="str">
        <f t="shared" si="134"/>
        <v/>
      </c>
      <c r="AM106" s="87" t="str">
        <f t="shared" si="135"/>
        <v/>
      </c>
      <c r="AN106" s="87" t="str">
        <f t="shared" si="136"/>
        <v/>
      </c>
      <c r="AO106" s="87" t="str">
        <f t="shared" si="137"/>
        <v/>
      </c>
      <c r="AP106" s="87" t="str">
        <f t="shared" si="138"/>
        <v/>
      </c>
      <c r="AQ106" s="87" t="str">
        <f t="shared" si="139"/>
        <v/>
      </c>
      <c r="AR106" s="87" t="str">
        <f t="shared" si="140"/>
        <v/>
      </c>
      <c r="AS106" s="87">
        <f t="shared" si="141"/>
        <v>148.99894</v>
      </c>
      <c r="AT106" s="87" t="str">
        <f t="shared" si="142"/>
        <v/>
      </c>
      <c r="AU106" s="87" t="str">
        <f t="shared" si="143"/>
        <v/>
      </c>
    </row>
    <row r="107" spans="1:47" ht="13.5" x14ac:dyDescent="0.3">
      <c r="A107" s="92" t="s">
        <v>150</v>
      </c>
      <c r="B107" s="92"/>
      <c r="C107" s="92"/>
      <c r="D107" s="86">
        <f>持有情况!Q124-ROW()*0.00001</f>
        <v>115.99893</v>
      </c>
      <c r="E107" s="86">
        <v>1</v>
      </c>
      <c r="F107" s="86">
        <v>1</v>
      </c>
      <c r="G107" s="86">
        <v>2</v>
      </c>
      <c r="H107" s="86">
        <v>1</v>
      </c>
      <c r="I107" s="86" t="s">
        <v>340</v>
      </c>
      <c r="J107" s="86">
        <f>INT(60+17+13*路线!B18+40)-ROW()*0.00001</f>
        <v>155.99893</v>
      </c>
      <c r="K107" s="3"/>
      <c r="L107" s="87" t="str">
        <f t="shared" si="108"/>
        <v/>
      </c>
      <c r="M107" s="87" t="str">
        <f t="shared" si="109"/>
        <v/>
      </c>
      <c r="N107" s="87" t="str">
        <f t="shared" si="110"/>
        <v/>
      </c>
      <c r="O107" s="87">
        <f t="shared" si="111"/>
        <v>115.99893</v>
      </c>
      <c r="P107" s="87" t="str">
        <f t="shared" si="112"/>
        <v/>
      </c>
      <c r="Q107" s="87" t="str">
        <f t="shared" si="113"/>
        <v/>
      </c>
      <c r="R107" s="87" t="str">
        <f t="shared" si="114"/>
        <v/>
      </c>
      <c r="S107" s="87" t="str">
        <f t="shared" si="115"/>
        <v/>
      </c>
      <c r="T107" s="87" t="str">
        <f t="shared" si="116"/>
        <v/>
      </c>
      <c r="U107" s="87" t="str">
        <f t="shared" si="117"/>
        <v/>
      </c>
      <c r="V107" s="87">
        <f t="shared" si="118"/>
        <v>115.99893</v>
      </c>
      <c r="W107" s="87" t="str">
        <f t="shared" si="119"/>
        <v/>
      </c>
      <c r="X107" s="87" t="str">
        <f t="shared" si="120"/>
        <v/>
      </c>
      <c r="Y107" s="87" t="str">
        <f t="shared" si="121"/>
        <v/>
      </c>
      <c r="Z107" s="87" t="str">
        <f t="shared" si="122"/>
        <v/>
      </c>
      <c r="AA107" s="87" t="str">
        <f t="shared" si="123"/>
        <v/>
      </c>
      <c r="AB107" s="87" t="str">
        <f t="shared" si="124"/>
        <v/>
      </c>
      <c r="AC107" s="87" t="str">
        <f t="shared" si="125"/>
        <v/>
      </c>
      <c r="AD107" s="87" t="str">
        <f t="shared" si="126"/>
        <v/>
      </c>
      <c r="AE107" s="87" t="str">
        <f t="shared" si="127"/>
        <v/>
      </c>
      <c r="AF107" s="87" t="str">
        <f t="shared" si="128"/>
        <v/>
      </c>
      <c r="AG107" s="87" t="str">
        <f t="shared" si="129"/>
        <v/>
      </c>
      <c r="AH107" s="87">
        <f t="shared" si="130"/>
        <v>155.99893</v>
      </c>
      <c r="AI107" s="87" t="str">
        <f t="shared" si="131"/>
        <v/>
      </c>
      <c r="AJ107" s="87" t="str">
        <f t="shared" si="132"/>
        <v/>
      </c>
      <c r="AK107" s="87" t="str">
        <f t="shared" si="133"/>
        <v/>
      </c>
      <c r="AL107" s="87" t="str">
        <f t="shared" si="134"/>
        <v/>
      </c>
      <c r="AM107" s="87" t="str">
        <f t="shared" si="135"/>
        <v/>
      </c>
      <c r="AN107" s="87" t="str">
        <f t="shared" si="136"/>
        <v/>
      </c>
      <c r="AO107" s="87" t="str">
        <f t="shared" si="137"/>
        <v/>
      </c>
      <c r="AP107" s="87" t="str">
        <f t="shared" si="138"/>
        <v/>
      </c>
      <c r="AQ107" s="87" t="str">
        <f t="shared" si="139"/>
        <v/>
      </c>
      <c r="AR107" s="87" t="str">
        <f t="shared" si="140"/>
        <v/>
      </c>
      <c r="AS107" s="87" t="str">
        <f t="shared" si="141"/>
        <v/>
      </c>
      <c r="AT107" s="87" t="str">
        <f t="shared" si="142"/>
        <v/>
      </c>
      <c r="AU107" s="87" t="str">
        <f t="shared" si="143"/>
        <v/>
      </c>
    </row>
    <row r="108" spans="1:47" ht="13.5" x14ac:dyDescent="0.3">
      <c r="A108" s="88" t="s">
        <v>151</v>
      </c>
      <c r="B108" s="88"/>
      <c r="C108" s="88"/>
      <c r="D108" s="86">
        <f>持有情况!AA124-ROW()*0.00001</f>
        <v>99.998919999999998</v>
      </c>
      <c r="E108" s="86">
        <v>2</v>
      </c>
      <c r="F108" s="86">
        <v>1</v>
      </c>
      <c r="G108" s="86">
        <v>3</v>
      </c>
      <c r="H108" s="86">
        <v>1</v>
      </c>
      <c r="I108" s="86" t="s">
        <v>341</v>
      </c>
      <c r="J108" s="86">
        <f>INT(60+7*路线!B29+2*路线!B24+40)-ROW()*0.00001</f>
        <v>137.99892</v>
      </c>
      <c r="K108" s="3"/>
      <c r="L108" s="87" t="str">
        <f t="shared" si="108"/>
        <v/>
      </c>
      <c r="M108" s="87" t="str">
        <f t="shared" si="109"/>
        <v/>
      </c>
      <c r="N108" s="87" t="str">
        <f t="shared" si="110"/>
        <v/>
      </c>
      <c r="O108" s="87" t="str">
        <f t="shared" si="111"/>
        <v/>
      </c>
      <c r="P108" s="87" t="str">
        <f t="shared" si="112"/>
        <v/>
      </c>
      <c r="Q108" s="87" t="str">
        <f t="shared" si="113"/>
        <v/>
      </c>
      <c r="R108" s="87" t="str">
        <f t="shared" si="114"/>
        <v/>
      </c>
      <c r="S108" s="87">
        <f t="shared" si="115"/>
        <v>99.998919999999998</v>
      </c>
      <c r="T108" s="87" t="str">
        <f t="shared" si="116"/>
        <v/>
      </c>
      <c r="U108" s="87" t="str">
        <f t="shared" si="117"/>
        <v/>
      </c>
      <c r="V108" s="87" t="str">
        <f t="shared" si="118"/>
        <v/>
      </c>
      <c r="W108" s="87" t="str">
        <f t="shared" si="119"/>
        <v/>
      </c>
      <c r="X108" s="87" t="str">
        <f t="shared" si="120"/>
        <v/>
      </c>
      <c r="Y108" s="87" t="str">
        <f t="shared" si="121"/>
        <v/>
      </c>
      <c r="Z108" s="87">
        <f t="shared" si="122"/>
        <v>99.998919999999998</v>
      </c>
      <c r="AA108" s="87" t="str">
        <f t="shared" si="123"/>
        <v/>
      </c>
      <c r="AB108" s="87" t="str">
        <f t="shared" si="124"/>
        <v/>
      </c>
      <c r="AC108" s="87" t="str">
        <f t="shared" si="125"/>
        <v/>
      </c>
      <c r="AD108" s="87" t="str">
        <f t="shared" si="126"/>
        <v/>
      </c>
      <c r="AE108" s="87" t="str">
        <f t="shared" si="127"/>
        <v/>
      </c>
      <c r="AF108" s="87" t="str">
        <f t="shared" si="128"/>
        <v/>
      </c>
      <c r="AG108" s="87" t="str">
        <f t="shared" si="129"/>
        <v/>
      </c>
      <c r="AH108" s="87" t="str">
        <f t="shared" si="130"/>
        <v/>
      </c>
      <c r="AI108" s="87" t="str">
        <f t="shared" si="131"/>
        <v/>
      </c>
      <c r="AJ108" s="87" t="str">
        <f t="shared" si="132"/>
        <v/>
      </c>
      <c r="AK108" s="87" t="str">
        <f t="shared" si="133"/>
        <v/>
      </c>
      <c r="AL108" s="87" t="str">
        <f t="shared" si="134"/>
        <v/>
      </c>
      <c r="AM108" s="87" t="str">
        <f t="shared" si="135"/>
        <v/>
      </c>
      <c r="AN108" s="87" t="str">
        <f t="shared" si="136"/>
        <v/>
      </c>
      <c r="AO108" s="87">
        <f t="shared" si="137"/>
        <v>137.99892</v>
      </c>
      <c r="AP108" s="87" t="str">
        <f t="shared" si="138"/>
        <v/>
      </c>
      <c r="AQ108" s="87" t="str">
        <f t="shared" si="139"/>
        <v/>
      </c>
      <c r="AR108" s="87" t="str">
        <f t="shared" si="140"/>
        <v/>
      </c>
      <c r="AS108" s="87" t="str">
        <f t="shared" si="141"/>
        <v/>
      </c>
      <c r="AT108" s="87" t="str">
        <f t="shared" si="142"/>
        <v/>
      </c>
      <c r="AU108" s="87" t="str">
        <f t="shared" si="143"/>
        <v/>
      </c>
    </row>
    <row r="109" spans="1:47" ht="13.5" x14ac:dyDescent="0.3">
      <c r="A109" s="88" t="s">
        <v>152</v>
      </c>
      <c r="B109" s="88"/>
      <c r="C109" s="88"/>
      <c r="D109" s="86">
        <f>持有情况!AA130-ROW()*0.00001</f>
        <v>281.99891000000002</v>
      </c>
      <c r="E109" s="86">
        <v>2</v>
      </c>
      <c r="F109" s="86">
        <v>0</v>
      </c>
      <c r="G109" s="86">
        <v>3</v>
      </c>
      <c r="H109" s="86">
        <v>0</v>
      </c>
      <c r="I109" s="86"/>
      <c r="J109" s="86">
        <f>INT((8.5/100)*路线!B12+4*路线!B27+IF(路线!B41&gt;6,6,路线!B41)*11+17*路线!B34+40)-ROW()*0.00001</f>
        <v>281.99891000000002</v>
      </c>
      <c r="K109" s="86"/>
      <c r="L109" s="87" t="str">
        <f t="shared" si="108"/>
        <v/>
      </c>
      <c r="M109" s="87" t="str">
        <f t="shared" si="109"/>
        <v/>
      </c>
      <c r="N109" s="87" t="str">
        <f t="shared" si="110"/>
        <v/>
      </c>
      <c r="O109" s="87" t="str">
        <f t="shared" si="111"/>
        <v/>
      </c>
      <c r="P109" s="87" t="str">
        <f t="shared" si="112"/>
        <v/>
      </c>
      <c r="Q109" s="87" t="str">
        <f t="shared" si="113"/>
        <v/>
      </c>
      <c r="R109" s="87" t="str">
        <f t="shared" si="114"/>
        <v/>
      </c>
      <c r="S109" s="87">
        <f t="shared" si="115"/>
        <v>281.99891000000002</v>
      </c>
      <c r="T109" s="87" t="str">
        <f t="shared" si="116"/>
        <v/>
      </c>
      <c r="U109" s="87" t="str">
        <f t="shared" si="117"/>
        <v/>
      </c>
      <c r="V109" s="87" t="str">
        <f t="shared" si="118"/>
        <v/>
      </c>
      <c r="W109" s="87" t="str">
        <f t="shared" si="119"/>
        <v/>
      </c>
      <c r="X109" s="87" t="str">
        <f t="shared" si="120"/>
        <v/>
      </c>
      <c r="Y109" s="87" t="str">
        <f t="shared" si="121"/>
        <v/>
      </c>
      <c r="Z109" s="87" t="str">
        <f t="shared" si="122"/>
        <v/>
      </c>
      <c r="AA109" s="87" t="str">
        <f t="shared" si="123"/>
        <v/>
      </c>
      <c r="AB109" s="87" t="str">
        <f t="shared" si="124"/>
        <v/>
      </c>
      <c r="AC109" s="87" t="str">
        <f t="shared" si="125"/>
        <v/>
      </c>
      <c r="AD109" s="87" t="str">
        <f t="shared" si="126"/>
        <v/>
      </c>
      <c r="AE109" s="87" t="str">
        <f t="shared" si="127"/>
        <v/>
      </c>
      <c r="AF109" s="87" t="str">
        <f t="shared" si="128"/>
        <v/>
      </c>
      <c r="AG109" s="87" t="str">
        <f t="shared" si="129"/>
        <v/>
      </c>
      <c r="AH109" s="87" t="str">
        <f t="shared" si="130"/>
        <v/>
      </c>
      <c r="AI109" s="87" t="str">
        <f t="shared" si="131"/>
        <v/>
      </c>
      <c r="AJ109" s="87" t="str">
        <f t="shared" si="132"/>
        <v/>
      </c>
      <c r="AK109" s="87" t="str">
        <f t="shared" si="133"/>
        <v/>
      </c>
      <c r="AL109" s="87">
        <f t="shared" si="134"/>
        <v>281.99891000000002</v>
      </c>
      <c r="AM109" s="87" t="str">
        <f t="shared" si="135"/>
        <v/>
      </c>
      <c r="AN109" s="87" t="str">
        <f t="shared" si="136"/>
        <v/>
      </c>
      <c r="AO109" s="87" t="str">
        <f t="shared" si="137"/>
        <v/>
      </c>
      <c r="AP109" s="87" t="str">
        <f t="shared" si="138"/>
        <v/>
      </c>
      <c r="AQ109" s="87" t="str">
        <f t="shared" si="139"/>
        <v/>
      </c>
      <c r="AR109" s="87" t="str">
        <f t="shared" si="140"/>
        <v/>
      </c>
      <c r="AS109" s="87" t="str">
        <f t="shared" si="141"/>
        <v/>
      </c>
      <c r="AT109" s="87" t="str">
        <f t="shared" si="142"/>
        <v/>
      </c>
      <c r="AU109" s="87" t="str">
        <f t="shared" si="143"/>
        <v/>
      </c>
    </row>
    <row r="110" spans="1:47" ht="13.5" x14ac:dyDescent="0.3">
      <c r="A110" s="88" t="s">
        <v>129</v>
      </c>
      <c r="B110" s="88"/>
      <c r="C110" s="88"/>
      <c r="D110" s="86">
        <f>持有情况!BE94-ROW()*0.00001</f>
        <v>161.99889999999999</v>
      </c>
      <c r="E110" s="86">
        <v>2</v>
      </c>
      <c r="F110" s="86">
        <v>1</v>
      </c>
      <c r="G110" s="86">
        <v>3</v>
      </c>
      <c r="H110" s="86">
        <v>0</v>
      </c>
      <c r="I110" s="86"/>
      <c r="J110" s="86">
        <f>INT(45+IF(路线!B36&gt;3,3,路线!B36)*16+13*路线!B18+30)-ROW()*0.00001</f>
        <v>161.99889999999999</v>
      </c>
      <c r="K110" s="86"/>
      <c r="L110" s="87" t="str">
        <f t="shared" si="108"/>
        <v/>
      </c>
      <c r="M110" s="87" t="str">
        <f t="shared" si="109"/>
        <v/>
      </c>
      <c r="N110" s="87" t="str">
        <f t="shared" si="110"/>
        <v/>
      </c>
      <c r="O110" s="87" t="str">
        <f t="shared" si="111"/>
        <v/>
      </c>
      <c r="P110" s="87" t="str">
        <f t="shared" si="112"/>
        <v/>
      </c>
      <c r="Q110" s="87" t="str">
        <f t="shared" si="113"/>
        <v/>
      </c>
      <c r="R110" s="87" t="str">
        <f t="shared" si="114"/>
        <v/>
      </c>
      <c r="S110" s="87">
        <f t="shared" si="115"/>
        <v>161.99889999999999</v>
      </c>
      <c r="T110" s="87" t="str">
        <f t="shared" si="116"/>
        <v/>
      </c>
      <c r="U110" s="87" t="str">
        <f t="shared" si="117"/>
        <v/>
      </c>
      <c r="V110" s="87" t="str">
        <f t="shared" si="118"/>
        <v/>
      </c>
      <c r="W110" s="87" t="str">
        <f t="shared" si="119"/>
        <v/>
      </c>
      <c r="X110" s="87" t="str">
        <f t="shared" si="120"/>
        <v/>
      </c>
      <c r="Y110" s="87" t="str">
        <f t="shared" si="121"/>
        <v/>
      </c>
      <c r="Z110" s="87">
        <f t="shared" si="122"/>
        <v>161.99889999999999</v>
      </c>
      <c r="AA110" s="87" t="str">
        <f t="shared" si="123"/>
        <v/>
      </c>
      <c r="AB110" s="87" t="str">
        <f t="shared" si="124"/>
        <v/>
      </c>
      <c r="AC110" s="87" t="str">
        <f t="shared" si="125"/>
        <v/>
      </c>
      <c r="AD110" s="87" t="str">
        <f t="shared" si="126"/>
        <v/>
      </c>
      <c r="AE110" s="87" t="str">
        <f t="shared" si="127"/>
        <v/>
      </c>
      <c r="AF110" s="87" t="str">
        <f t="shared" si="128"/>
        <v/>
      </c>
      <c r="AG110" s="87" t="str">
        <f t="shared" si="129"/>
        <v/>
      </c>
      <c r="AH110" s="87" t="str">
        <f t="shared" si="130"/>
        <v/>
      </c>
      <c r="AI110" s="87" t="str">
        <f t="shared" si="131"/>
        <v/>
      </c>
      <c r="AJ110" s="87" t="str">
        <f t="shared" si="132"/>
        <v/>
      </c>
      <c r="AK110" s="87" t="str">
        <f t="shared" si="133"/>
        <v/>
      </c>
      <c r="AL110" s="87" t="str">
        <f t="shared" si="134"/>
        <v/>
      </c>
      <c r="AM110" s="87" t="str">
        <f t="shared" si="135"/>
        <v/>
      </c>
      <c r="AN110" s="87" t="str">
        <f t="shared" si="136"/>
        <v/>
      </c>
      <c r="AO110" s="87">
        <f t="shared" si="137"/>
        <v>161.99889999999999</v>
      </c>
      <c r="AP110" s="87" t="str">
        <f t="shared" si="138"/>
        <v/>
      </c>
      <c r="AQ110" s="87" t="str">
        <f t="shared" si="139"/>
        <v/>
      </c>
      <c r="AR110" s="87" t="str">
        <f t="shared" si="140"/>
        <v/>
      </c>
      <c r="AS110" s="87" t="str">
        <f t="shared" si="141"/>
        <v/>
      </c>
      <c r="AT110" s="87" t="str">
        <f t="shared" si="142"/>
        <v/>
      </c>
      <c r="AU110" s="87" t="str">
        <f t="shared" si="143"/>
        <v/>
      </c>
    </row>
    <row r="111" spans="1:47" ht="13.5" x14ac:dyDescent="0.3">
      <c r="A111" s="89"/>
      <c r="B111" s="89"/>
      <c r="C111" s="89"/>
      <c r="D111" s="89"/>
      <c r="E111" s="89"/>
      <c r="F111" s="89"/>
      <c r="G111" s="89"/>
      <c r="H111" s="90"/>
      <c r="I111" s="1"/>
      <c r="J111" s="89"/>
      <c r="K111" s="1"/>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row>
    <row r="112" spans="1:47" ht="13.5" x14ac:dyDescent="0.3">
      <c r="A112" s="89"/>
      <c r="B112" s="89"/>
      <c r="C112" s="89"/>
      <c r="D112" s="89"/>
      <c r="E112" s="89"/>
      <c r="F112" s="89"/>
      <c r="G112" s="89"/>
      <c r="H112" s="90"/>
      <c r="I112" s="1"/>
      <c r="J112" s="89"/>
      <c r="K112" s="1"/>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row>
    <row r="113" spans="1:47" ht="13.5" x14ac:dyDescent="0.3">
      <c r="A113" s="89"/>
      <c r="B113" s="89"/>
      <c r="C113" s="89"/>
      <c r="D113" s="89"/>
      <c r="E113" s="89"/>
      <c r="F113" s="89"/>
      <c r="G113" s="89"/>
      <c r="H113" s="90"/>
      <c r="I113" s="1"/>
      <c r="J113" s="89"/>
      <c r="K113" s="1"/>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row>
    <row r="114" spans="1:47" ht="13.5" x14ac:dyDescent="0.3">
      <c r="A114" s="89"/>
      <c r="B114" s="89"/>
      <c r="C114" s="89"/>
      <c r="D114" s="89"/>
      <c r="E114" s="89"/>
      <c r="F114" s="89"/>
      <c r="G114" s="89"/>
      <c r="H114" s="90"/>
      <c r="I114" s="1"/>
      <c r="J114" s="89"/>
      <c r="K114" s="1"/>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row>
    <row r="115" spans="1:47" ht="13.5" x14ac:dyDescent="0.3">
      <c r="A115" s="89"/>
      <c r="B115" s="89"/>
      <c r="C115" s="89"/>
      <c r="D115" s="89"/>
      <c r="E115" s="89"/>
      <c r="F115" s="89"/>
      <c r="G115" s="89"/>
      <c r="H115" s="90"/>
      <c r="I115" s="1"/>
      <c r="J115" s="89"/>
      <c r="K115" s="1"/>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c r="AS115" s="84"/>
      <c r="AT115" s="84"/>
      <c r="AU115" s="84"/>
    </row>
    <row r="116" spans="1:47" ht="13.5" x14ac:dyDescent="0.3">
      <c r="A116" s="89"/>
      <c r="B116" s="89"/>
      <c r="C116" s="89"/>
      <c r="D116" s="89"/>
      <c r="E116" s="89"/>
      <c r="F116" s="89"/>
      <c r="G116" s="89"/>
      <c r="H116" s="90"/>
      <c r="I116" s="1"/>
      <c r="J116" s="89"/>
      <c r="K116" s="1"/>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c r="AS116" s="84"/>
      <c r="AT116" s="84"/>
      <c r="AU116" s="84"/>
    </row>
    <row r="117" spans="1:47" ht="13.5" x14ac:dyDescent="0.3">
      <c r="A117" s="89"/>
      <c r="B117" s="89"/>
      <c r="C117" s="89"/>
      <c r="D117" s="89"/>
      <c r="E117" s="89"/>
      <c r="F117" s="89"/>
      <c r="G117" s="89"/>
      <c r="H117" s="90"/>
      <c r="I117" s="1"/>
      <c r="J117" s="89"/>
      <c r="K117" s="1"/>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row>
    <row r="118" spans="1:47" ht="13.5" x14ac:dyDescent="0.3">
      <c r="A118" s="89"/>
      <c r="B118" s="89"/>
      <c r="C118" s="89"/>
      <c r="D118" s="89"/>
      <c r="E118" s="89"/>
      <c r="F118" s="89"/>
      <c r="G118" s="89"/>
      <c r="H118" s="90"/>
      <c r="I118" s="1"/>
      <c r="J118" s="89"/>
      <c r="K118" s="1"/>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c r="AS118" s="84"/>
      <c r="AT118" s="84"/>
      <c r="AU118" s="84"/>
    </row>
    <row r="119" spans="1:47" ht="13.5" x14ac:dyDescent="0.3">
      <c r="A119" s="89"/>
      <c r="B119" s="89"/>
      <c r="C119" s="89"/>
      <c r="D119" s="89"/>
      <c r="E119" s="89"/>
      <c r="F119" s="89"/>
      <c r="G119" s="89"/>
      <c r="H119" s="90"/>
      <c r="I119" s="1"/>
      <c r="J119" s="89"/>
      <c r="K119" s="1"/>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4"/>
      <c r="AM119" s="84"/>
      <c r="AN119" s="84"/>
      <c r="AO119" s="84"/>
      <c r="AP119" s="84"/>
      <c r="AQ119" s="84"/>
      <c r="AR119" s="84"/>
      <c r="AS119" s="84"/>
      <c r="AT119" s="84"/>
      <c r="AU119" s="84"/>
    </row>
    <row r="120" spans="1:47" ht="13.5" x14ac:dyDescent="0.3">
      <c r="A120" s="89"/>
      <c r="B120" s="89"/>
      <c r="C120" s="89"/>
      <c r="D120" s="89"/>
      <c r="E120" s="89"/>
      <c r="F120" s="89"/>
      <c r="G120" s="89"/>
      <c r="H120" s="90"/>
      <c r="I120" s="1"/>
      <c r="J120" s="89"/>
      <c r="K120" s="1"/>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c r="AP120" s="84"/>
      <c r="AQ120" s="84"/>
      <c r="AR120" s="84"/>
      <c r="AS120" s="84"/>
      <c r="AT120" s="84"/>
      <c r="AU120" s="84"/>
    </row>
    <row r="121" spans="1:47" ht="13.5" x14ac:dyDescent="0.3">
      <c r="A121" s="89"/>
      <c r="B121" s="89"/>
      <c r="C121" s="89"/>
      <c r="D121" s="89"/>
      <c r="E121" s="89"/>
      <c r="F121" s="89"/>
      <c r="G121" s="89"/>
      <c r="H121" s="90"/>
      <c r="I121" s="1"/>
      <c r="J121" s="89"/>
      <c r="K121" s="1"/>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c r="AS121" s="84"/>
      <c r="AT121" s="84"/>
      <c r="AU121" s="84"/>
    </row>
    <row r="122" spans="1:47" ht="13.5" x14ac:dyDescent="0.3">
      <c r="A122" s="89"/>
      <c r="B122" s="89"/>
      <c r="C122" s="89"/>
      <c r="D122" s="89"/>
      <c r="E122" s="89"/>
      <c r="F122" s="89"/>
      <c r="G122" s="89"/>
      <c r="H122" s="90"/>
      <c r="I122" s="1"/>
      <c r="J122" s="89"/>
      <c r="K122" s="1"/>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c r="AP122" s="84"/>
      <c r="AQ122" s="84"/>
      <c r="AR122" s="84"/>
      <c r="AS122" s="84"/>
      <c r="AT122" s="84"/>
      <c r="AU122" s="84"/>
    </row>
    <row r="123" spans="1:47" ht="13.5" x14ac:dyDescent="0.3">
      <c r="A123" s="89"/>
      <c r="B123" s="89"/>
      <c r="C123" s="89"/>
      <c r="D123" s="89"/>
      <c r="E123" s="89"/>
      <c r="F123" s="89"/>
      <c r="G123" s="89"/>
      <c r="H123" s="90"/>
      <c r="I123" s="1"/>
      <c r="J123" s="89"/>
      <c r="K123" s="1"/>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4"/>
      <c r="AM123" s="84"/>
      <c r="AN123" s="84"/>
      <c r="AO123" s="84"/>
      <c r="AP123" s="84"/>
      <c r="AQ123" s="84"/>
      <c r="AR123" s="84"/>
      <c r="AS123" s="84"/>
      <c r="AT123" s="84"/>
      <c r="AU123" s="84"/>
    </row>
    <row r="124" spans="1:47" ht="13.5" x14ac:dyDescent="0.3">
      <c r="A124" s="89"/>
      <c r="B124" s="89"/>
      <c r="C124" s="89"/>
      <c r="D124" s="89"/>
      <c r="E124" s="89"/>
      <c r="F124" s="89"/>
      <c r="G124" s="89"/>
      <c r="H124" s="90"/>
      <c r="I124" s="1"/>
      <c r="J124" s="89"/>
      <c r="K124" s="1"/>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row>
    <row r="125" spans="1:47" ht="13.5" x14ac:dyDescent="0.3">
      <c r="A125" s="89"/>
      <c r="B125" s="89"/>
      <c r="C125" s="89"/>
      <c r="D125" s="89"/>
      <c r="E125" s="89"/>
      <c r="F125" s="89"/>
      <c r="G125" s="89"/>
      <c r="H125" s="90"/>
      <c r="I125" s="1"/>
      <c r="J125" s="89"/>
      <c r="K125" s="1"/>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row>
    <row r="126" spans="1:47" ht="13.5" x14ac:dyDescent="0.3">
      <c r="A126" s="89"/>
      <c r="B126" s="89"/>
      <c r="C126" s="89"/>
      <c r="D126" s="89"/>
      <c r="E126" s="89"/>
      <c r="F126" s="89"/>
      <c r="G126" s="89"/>
      <c r="H126" s="90"/>
      <c r="I126" s="1"/>
      <c r="J126" s="89"/>
      <c r="K126" s="1"/>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c r="AN126" s="84"/>
      <c r="AO126" s="84"/>
      <c r="AP126" s="84"/>
      <c r="AQ126" s="84"/>
      <c r="AR126" s="84"/>
      <c r="AS126" s="84"/>
      <c r="AT126" s="84"/>
      <c r="AU126" s="84"/>
    </row>
    <row r="127" spans="1:47" ht="13.5" x14ac:dyDescent="0.3">
      <c r="A127" s="89"/>
      <c r="B127" s="89"/>
      <c r="C127" s="89"/>
      <c r="D127" s="89"/>
      <c r="E127" s="89"/>
      <c r="F127" s="89"/>
      <c r="G127" s="89"/>
      <c r="H127" s="90"/>
      <c r="I127" s="1"/>
      <c r="J127" s="89"/>
      <c r="K127" s="1"/>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row>
    <row r="128" spans="1:47" ht="13.5" x14ac:dyDescent="0.3">
      <c r="A128" s="89"/>
      <c r="B128" s="89"/>
      <c r="C128" s="89"/>
      <c r="D128" s="89"/>
      <c r="E128" s="89"/>
      <c r="F128" s="89"/>
      <c r="G128" s="89"/>
      <c r="H128" s="90"/>
      <c r="I128" s="1"/>
      <c r="J128" s="89"/>
      <c r="K128" s="1"/>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row>
    <row r="129" spans="1:47" ht="13.5" x14ac:dyDescent="0.3">
      <c r="A129" s="89"/>
      <c r="B129" s="89"/>
      <c r="C129" s="89"/>
      <c r="D129" s="89"/>
      <c r="E129" s="89"/>
      <c r="F129" s="89"/>
      <c r="G129" s="89"/>
      <c r="H129" s="90"/>
      <c r="I129" s="1"/>
      <c r="J129" s="89"/>
      <c r="K129" s="1"/>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c r="AS129" s="84"/>
      <c r="AT129" s="84"/>
      <c r="AU129" s="84"/>
    </row>
    <row r="130" spans="1:47" ht="13.5" x14ac:dyDescent="0.3">
      <c r="A130" s="89"/>
      <c r="B130" s="89"/>
      <c r="C130" s="89"/>
      <c r="D130" s="89"/>
      <c r="E130" s="89"/>
      <c r="F130" s="89"/>
      <c r="G130" s="89"/>
      <c r="H130" s="90"/>
      <c r="I130" s="1"/>
      <c r="J130" s="89"/>
      <c r="K130" s="1"/>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c r="AS130" s="84"/>
      <c r="AT130" s="84"/>
      <c r="AU130" s="84"/>
    </row>
    <row r="131" spans="1:47" ht="13.5" x14ac:dyDescent="0.3">
      <c r="A131" s="89"/>
      <c r="B131" s="89"/>
      <c r="C131" s="89"/>
      <c r="D131" s="89"/>
      <c r="E131" s="89"/>
      <c r="F131" s="89"/>
      <c r="G131" s="89"/>
      <c r="H131" s="90"/>
      <c r="I131" s="1"/>
      <c r="J131" s="89"/>
      <c r="K131" s="1"/>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row>
    <row r="132" spans="1:47" ht="13.5" x14ac:dyDescent="0.3">
      <c r="A132" s="89"/>
      <c r="B132" s="89"/>
      <c r="C132" s="89"/>
      <c r="D132" s="89"/>
      <c r="E132" s="89"/>
      <c r="F132" s="89"/>
      <c r="G132" s="89"/>
      <c r="H132" s="90"/>
      <c r="I132" s="1"/>
      <c r="J132" s="89"/>
      <c r="K132" s="1"/>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row>
    <row r="133" spans="1:47" ht="13.5" x14ac:dyDescent="0.3">
      <c r="A133" s="89"/>
      <c r="B133" s="89"/>
      <c r="C133" s="89"/>
      <c r="D133" s="89"/>
      <c r="E133" s="89"/>
      <c r="F133" s="89"/>
      <c r="G133" s="89"/>
      <c r="H133" s="90"/>
      <c r="I133" s="1"/>
      <c r="J133" s="89"/>
      <c r="K133" s="1"/>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c r="AS133" s="84"/>
      <c r="AT133" s="84"/>
      <c r="AU133" s="84"/>
    </row>
    <row r="134" spans="1:47" ht="13.5" x14ac:dyDescent="0.3">
      <c r="A134" s="89"/>
      <c r="B134" s="89"/>
      <c r="C134" s="89"/>
      <c r="D134" s="89"/>
      <c r="E134" s="89"/>
      <c r="F134" s="89"/>
      <c r="G134" s="89"/>
      <c r="H134" s="90"/>
      <c r="I134" s="1"/>
      <c r="J134" s="89"/>
      <c r="K134" s="1"/>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c r="AS134" s="84"/>
      <c r="AT134" s="84"/>
      <c r="AU134" s="84"/>
    </row>
    <row r="135" spans="1:47" ht="13.5" x14ac:dyDescent="0.3">
      <c r="A135" s="89"/>
      <c r="B135" s="89"/>
      <c r="C135" s="89"/>
      <c r="D135" s="89"/>
      <c r="E135" s="89"/>
      <c r="F135" s="89"/>
      <c r="G135" s="89"/>
      <c r="H135" s="90"/>
      <c r="I135" s="1"/>
      <c r="J135" s="89"/>
      <c r="K135" s="1"/>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row>
    <row r="136" spans="1:47" ht="13.5" x14ac:dyDescent="0.3">
      <c r="A136" s="89"/>
      <c r="B136" s="89"/>
      <c r="C136" s="89"/>
      <c r="D136" s="89"/>
      <c r="E136" s="89"/>
      <c r="F136" s="89"/>
      <c r="G136" s="89"/>
      <c r="H136" s="90"/>
      <c r="I136" s="1"/>
      <c r="J136" s="89"/>
      <c r="K136" s="1"/>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row>
    <row r="137" spans="1:47" ht="13.5" x14ac:dyDescent="0.3">
      <c r="A137" s="89"/>
      <c r="B137" s="89"/>
      <c r="C137" s="89"/>
      <c r="D137" s="89"/>
      <c r="E137" s="89"/>
      <c r="F137" s="89"/>
      <c r="G137" s="89"/>
      <c r="H137" s="90"/>
      <c r="I137" s="1"/>
      <c r="J137" s="89"/>
      <c r="K137" s="1"/>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c r="AN137" s="84"/>
      <c r="AO137" s="84"/>
      <c r="AP137" s="84"/>
      <c r="AQ137" s="84"/>
      <c r="AR137" s="84"/>
      <c r="AS137" s="84"/>
      <c r="AT137" s="84"/>
      <c r="AU137" s="84"/>
    </row>
    <row r="138" spans="1:47" ht="13.5" x14ac:dyDescent="0.3">
      <c r="A138" s="89"/>
      <c r="B138" s="89"/>
      <c r="C138" s="89"/>
      <c r="D138" s="89"/>
      <c r="E138" s="89"/>
      <c r="F138" s="89"/>
      <c r="G138" s="89"/>
      <c r="H138" s="90"/>
      <c r="I138" s="1"/>
      <c r="J138" s="89"/>
      <c r="K138" s="1"/>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row>
    <row r="139" spans="1:47" ht="13.5" x14ac:dyDescent="0.3">
      <c r="A139" s="89"/>
      <c r="B139" s="89"/>
      <c r="C139" s="89"/>
      <c r="D139" s="89"/>
      <c r="E139" s="89"/>
      <c r="F139" s="89"/>
      <c r="G139" s="89"/>
      <c r="H139" s="90"/>
      <c r="I139" s="1"/>
      <c r="J139" s="89"/>
      <c r="K139" s="1"/>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c r="AS139" s="84"/>
      <c r="AT139" s="84"/>
      <c r="AU139" s="84"/>
    </row>
    <row r="140" spans="1:47" ht="13.5" x14ac:dyDescent="0.3">
      <c r="A140" s="89"/>
      <c r="B140" s="89"/>
      <c r="C140" s="89"/>
      <c r="D140" s="89"/>
      <c r="E140" s="89"/>
      <c r="F140" s="89"/>
      <c r="G140" s="89"/>
      <c r="H140" s="90"/>
      <c r="I140" s="1"/>
      <c r="J140" s="89"/>
      <c r="K140" s="1"/>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4"/>
      <c r="AM140" s="84"/>
      <c r="AN140" s="84"/>
      <c r="AO140" s="84"/>
      <c r="AP140" s="84"/>
      <c r="AQ140" s="84"/>
      <c r="AR140" s="84"/>
      <c r="AS140" s="84"/>
      <c r="AT140" s="84"/>
      <c r="AU140" s="84"/>
    </row>
    <row r="141" spans="1:47" ht="13.5" x14ac:dyDescent="0.3">
      <c r="A141" s="89"/>
      <c r="B141" s="89"/>
      <c r="C141" s="89"/>
      <c r="D141" s="89"/>
      <c r="E141" s="89"/>
      <c r="F141" s="89"/>
      <c r="G141" s="89"/>
      <c r="H141" s="90"/>
      <c r="I141" s="1"/>
      <c r="J141" s="89"/>
      <c r="K141" s="1"/>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c r="AN141" s="84"/>
      <c r="AO141" s="84"/>
      <c r="AP141" s="84"/>
      <c r="AQ141" s="84"/>
      <c r="AR141" s="84"/>
      <c r="AS141" s="84"/>
      <c r="AT141" s="84"/>
      <c r="AU141" s="84"/>
    </row>
    <row r="142" spans="1:47" ht="13.5" x14ac:dyDescent="0.3">
      <c r="A142" s="89"/>
      <c r="B142" s="89"/>
      <c r="C142" s="89"/>
      <c r="D142" s="89"/>
      <c r="E142" s="89"/>
      <c r="F142" s="89"/>
      <c r="G142" s="89"/>
      <c r="H142" s="90"/>
      <c r="I142" s="1"/>
      <c r="J142" s="89"/>
      <c r="K142" s="1"/>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4"/>
      <c r="AM142" s="84"/>
      <c r="AN142" s="84"/>
      <c r="AO142" s="84"/>
      <c r="AP142" s="84"/>
      <c r="AQ142" s="84"/>
      <c r="AR142" s="84"/>
      <c r="AS142" s="84"/>
      <c r="AT142" s="84"/>
      <c r="AU142" s="84"/>
    </row>
    <row r="143" spans="1:47" ht="13.5" x14ac:dyDescent="0.3">
      <c r="A143" s="89"/>
      <c r="B143" s="89"/>
      <c r="C143" s="89"/>
      <c r="D143" s="89"/>
      <c r="E143" s="89"/>
      <c r="F143" s="89"/>
      <c r="G143" s="89"/>
      <c r="H143" s="90"/>
      <c r="I143" s="1"/>
      <c r="J143" s="89"/>
      <c r="K143" s="1"/>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row>
    <row r="144" spans="1:47" ht="13.5" x14ac:dyDescent="0.3">
      <c r="A144" s="89"/>
      <c r="B144" s="89"/>
      <c r="C144" s="89"/>
      <c r="D144" s="89"/>
      <c r="E144" s="89"/>
      <c r="F144" s="89"/>
      <c r="G144" s="89"/>
      <c r="H144" s="90"/>
      <c r="I144" s="1"/>
      <c r="J144" s="89"/>
      <c r="K144" s="1"/>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c r="AN144" s="84"/>
      <c r="AO144" s="84"/>
      <c r="AP144" s="84"/>
      <c r="AQ144" s="84"/>
      <c r="AR144" s="84"/>
      <c r="AS144" s="84"/>
      <c r="AT144" s="84"/>
      <c r="AU144" s="84"/>
    </row>
    <row r="145" spans="1:47" ht="13.5" x14ac:dyDescent="0.3">
      <c r="A145" s="89"/>
      <c r="B145" s="89"/>
      <c r="C145" s="89"/>
      <c r="D145" s="89"/>
      <c r="E145" s="89"/>
      <c r="F145" s="89"/>
      <c r="G145" s="89"/>
      <c r="H145" s="90"/>
      <c r="I145" s="1"/>
      <c r="J145" s="89"/>
      <c r="K145" s="1"/>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row>
    <row r="146" spans="1:47" ht="13.5" x14ac:dyDescent="0.3">
      <c r="A146" s="89"/>
      <c r="B146" s="89"/>
      <c r="C146" s="89"/>
      <c r="D146" s="89"/>
      <c r="E146" s="89"/>
      <c r="F146" s="89"/>
      <c r="G146" s="89"/>
      <c r="H146" s="90"/>
      <c r="I146" s="1"/>
      <c r="J146" s="89"/>
      <c r="K146" s="1"/>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row>
    <row r="147" spans="1:47" ht="13.5" x14ac:dyDescent="0.3">
      <c r="A147" s="89"/>
      <c r="B147" s="89"/>
      <c r="C147" s="89"/>
      <c r="D147" s="89"/>
      <c r="E147" s="89"/>
      <c r="F147" s="89"/>
      <c r="G147" s="89"/>
      <c r="H147" s="90"/>
      <c r="I147" s="1"/>
      <c r="J147" s="89"/>
      <c r="K147" s="1"/>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4"/>
      <c r="AM147" s="84"/>
      <c r="AN147" s="84"/>
      <c r="AO147" s="84"/>
      <c r="AP147" s="84"/>
      <c r="AQ147" s="84"/>
      <c r="AR147" s="84"/>
      <c r="AS147" s="84"/>
      <c r="AT147" s="84"/>
      <c r="AU147" s="84"/>
    </row>
    <row r="148" spans="1:47" ht="13.5" x14ac:dyDescent="0.3">
      <c r="A148" s="89"/>
      <c r="B148" s="89"/>
      <c r="C148" s="89"/>
      <c r="D148" s="89"/>
      <c r="E148" s="89"/>
      <c r="F148" s="89"/>
      <c r="G148" s="89"/>
      <c r="H148" s="90"/>
      <c r="I148" s="1"/>
      <c r="J148" s="89"/>
      <c r="K148" s="1"/>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4"/>
      <c r="AM148" s="84"/>
      <c r="AN148" s="84"/>
      <c r="AO148" s="84"/>
      <c r="AP148" s="84"/>
      <c r="AQ148" s="84"/>
      <c r="AR148" s="84"/>
      <c r="AS148" s="84"/>
      <c r="AT148" s="84"/>
      <c r="AU148" s="84"/>
    </row>
    <row r="149" spans="1:47" ht="13.5" x14ac:dyDescent="0.3">
      <c r="A149" s="89"/>
      <c r="B149" s="89"/>
      <c r="C149" s="89"/>
      <c r="D149" s="89"/>
      <c r="E149" s="89"/>
      <c r="F149" s="89"/>
      <c r="G149" s="89"/>
      <c r="H149" s="90"/>
      <c r="I149" s="1"/>
      <c r="J149" s="89"/>
      <c r="K149" s="1"/>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4"/>
      <c r="AM149" s="84"/>
      <c r="AN149" s="84"/>
      <c r="AO149" s="84"/>
      <c r="AP149" s="84"/>
      <c r="AQ149" s="84"/>
      <c r="AR149" s="84"/>
      <c r="AS149" s="84"/>
      <c r="AT149" s="84"/>
      <c r="AU149" s="84"/>
    </row>
    <row r="150" spans="1:47" ht="13.5" x14ac:dyDescent="0.3">
      <c r="A150" s="89"/>
      <c r="B150" s="89"/>
      <c r="C150" s="89"/>
      <c r="D150" s="89"/>
      <c r="E150" s="89"/>
      <c r="F150" s="89"/>
      <c r="G150" s="89"/>
      <c r="H150" s="90"/>
      <c r="I150" s="1"/>
      <c r="J150" s="89"/>
      <c r="K150" s="1"/>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row>
    <row r="151" spans="1:47" ht="13.5" x14ac:dyDescent="0.3">
      <c r="A151" s="89"/>
      <c r="B151" s="89"/>
      <c r="C151" s="89"/>
      <c r="D151" s="89"/>
      <c r="E151" s="89"/>
      <c r="F151" s="89"/>
      <c r="G151" s="89"/>
      <c r="H151" s="90"/>
      <c r="I151" s="1"/>
      <c r="J151" s="89"/>
      <c r="K151" s="1"/>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84"/>
      <c r="AP151" s="84"/>
      <c r="AQ151" s="84"/>
      <c r="AR151" s="84"/>
      <c r="AS151" s="84"/>
      <c r="AT151" s="84"/>
      <c r="AU151" s="84"/>
    </row>
    <row r="152" spans="1:47" ht="13.5" x14ac:dyDescent="0.3">
      <c r="A152" s="89"/>
      <c r="B152" s="89"/>
      <c r="C152" s="89"/>
      <c r="D152" s="89"/>
      <c r="E152" s="89"/>
      <c r="F152" s="89"/>
      <c r="G152" s="89"/>
      <c r="H152" s="90"/>
      <c r="I152" s="1"/>
      <c r="J152" s="89"/>
      <c r="K152" s="1"/>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84"/>
      <c r="AP152" s="84"/>
      <c r="AQ152" s="84"/>
      <c r="AR152" s="84"/>
      <c r="AS152" s="84"/>
      <c r="AT152" s="84"/>
      <c r="AU152" s="84"/>
    </row>
    <row r="153" spans="1:47" ht="13.5" x14ac:dyDescent="0.3">
      <c r="A153" s="89"/>
      <c r="B153" s="89"/>
      <c r="C153" s="89"/>
      <c r="D153" s="89"/>
      <c r="E153" s="89"/>
      <c r="F153" s="89"/>
      <c r="G153" s="89"/>
      <c r="H153" s="90"/>
      <c r="I153" s="1"/>
      <c r="J153" s="89"/>
      <c r="K153" s="1"/>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84"/>
      <c r="AP153" s="84"/>
      <c r="AQ153" s="84"/>
      <c r="AR153" s="84"/>
      <c r="AS153" s="84"/>
      <c r="AT153" s="84"/>
      <c r="AU153" s="84"/>
    </row>
    <row r="154" spans="1:47" ht="13.5" x14ac:dyDescent="0.3">
      <c r="A154" s="89"/>
      <c r="B154" s="89"/>
      <c r="C154" s="89"/>
      <c r="D154" s="89"/>
      <c r="E154" s="89"/>
      <c r="F154" s="89"/>
      <c r="G154" s="89"/>
      <c r="H154" s="90"/>
      <c r="I154" s="1"/>
      <c r="J154" s="89"/>
      <c r="K154" s="1"/>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c r="AN154" s="84"/>
      <c r="AO154" s="84"/>
      <c r="AP154" s="84"/>
      <c r="AQ154" s="84"/>
      <c r="AR154" s="84"/>
      <c r="AS154" s="84"/>
      <c r="AT154" s="84"/>
      <c r="AU154" s="84"/>
    </row>
    <row r="155" spans="1:47" ht="13.5" x14ac:dyDescent="0.3">
      <c r="A155" s="89"/>
      <c r="B155" s="89"/>
      <c r="C155" s="89"/>
      <c r="D155" s="89"/>
      <c r="E155" s="89"/>
      <c r="F155" s="89"/>
      <c r="G155" s="89"/>
      <c r="H155" s="90"/>
      <c r="I155" s="1"/>
      <c r="J155" s="89"/>
      <c r="K155" s="1"/>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84"/>
      <c r="AP155" s="84"/>
      <c r="AQ155" s="84"/>
      <c r="AR155" s="84"/>
      <c r="AS155" s="84"/>
      <c r="AT155" s="84"/>
      <c r="AU155" s="84"/>
    </row>
    <row r="156" spans="1:47" ht="13.5" x14ac:dyDescent="0.3">
      <c r="A156" s="89"/>
      <c r="B156" s="89"/>
      <c r="C156" s="89"/>
      <c r="D156" s="89"/>
      <c r="E156" s="89"/>
      <c r="F156" s="89"/>
      <c r="G156" s="89"/>
      <c r="H156" s="90"/>
      <c r="I156" s="1"/>
      <c r="J156" s="89"/>
      <c r="K156" s="1"/>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row>
    <row r="157" spans="1:47" ht="13.5" x14ac:dyDescent="0.3">
      <c r="A157" s="89"/>
      <c r="B157" s="89"/>
      <c r="C157" s="89"/>
      <c r="D157" s="89"/>
      <c r="E157" s="89"/>
      <c r="F157" s="89"/>
      <c r="G157" s="89"/>
      <c r="H157" s="90"/>
      <c r="I157" s="1"/>
      <c r="J157" s="89"/>
      <c r="K157" s="1"/>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row>
    <row r="158" spans="1:47" ht="13.5" x14ac:dyDescent="0.3">
      <c r="A158" s="89"/>
      <c r="B158" s="89"/>
      <c r="C158" s="89"/>
      <c r="D158" s="89"/>
      <c r="E158" s="89"/>
      <c r="F158" s="89"/>
      <c r="G158" s="89"/>
      <c r="H158" s="90"/>
      <c r="I158" s="1"/>
      <c r="J158" s="89"/>
      <c r="K158" s="1"/>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c r="AN158" s="84"/>
      <c r="AO158" s="84"/>
      <c r="AP158" s="84"/>
      <c r="AQ158" s="84"/>
      <c r="AR158" s="84"/>
      <c r="AS158" s="84"/>
      <c r="AT158" s="84"/>
      <c r="AU158" s="84"/>
    </row>
    <row r="159" spans="1:47" ht="13.5" x14ac:dyDescent="0.3">
      <c r="A159" s="89"/>
      <c r="B159" s="89"/>
      <c r="C159" s="89"/>
      <c r="D159" s="89"/>
      <c r="E159" s="89"/>
      <c r="F159" s="89"/>
      <c r="G159" s="89"/>
      <c r="H159" s="90"/>
      <c r="I159" s="1"/>
      <c r="J159" s="89"/>
      <c r="K159" s="1"/>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row>
    <row r="160" spans="1:47" ht="13.5" x14ac:dyDescent="0.3">
      <c r="A160" s="89"/>
      <c r="B160" s="89"/>
      <c r="C160" s="89"/>
      <c r="D160" s="89"/>
      <c r="E160" s="89"/>
      <c r="F160" s="89"/>
      <c r="G160" s="89"/>
      <c r="H160" s="90"/>
      <c r="I160" s="1"/>
      <c r="J160" s="89"/>
      <c r="K160" s="1"/>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c r="AP160" s="84"/>
      <c r="AQ160" s="84"/>
      <c r="AR160" s="84"/>
      <c r="AS160" s="84"/>
      <c r="AT160" s="84"/>
      <c r="AU160" s="84"/>
    </row>
    <row r="161" spans="1:47" ht="13.5" x14ac:dyDescent="0.3">
      <c r="A161" s="89"/>
      <c r="B161" s="89"/>
      <c r="C161" s="89"/>
      <c r="D161" s="89"/>
      <c r="E161" s="89"/>
      <c r="F161" s="89"/>
      <c r="G161" s="89"/>
      <c r="H161" s="90"/>
      <c r="I161" s="1"/>
      <c r="J161" s="89"/>
      <c r="K161" s="1"/>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row>
    <row r="162" spans="1:47" ht="13.5" x14ac:dyDescent="0.3">
      <c r="A162" s="89"/>
      <c r="B162" s="89"/>
      <c r="C162" s="89"/>
      <c r="D162" s="89"/>
      <c r="E162" s="89"/>
      <c r="F162" s="89"/>
      <c r="G162" s="89"/>
      <c r="H162" s="90"/>
      <c r="I162" s="1"/>
      <c r="J162" s="89"/>
      <c r="K162" s="1"/>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4"/>
      <c r="AM162" s="84"/>
      <c r="AN162" s="84"/>
      <c r="AO162" s="84"/>
      <c r="AP162" s="84"/>
      <c r="AQ162" s="84"/>
      <c r="AR162" s="84"/>
      <c r="AS162" s="84"/>
      <c r="AT162" s="84"/>
      <c r="AU162" s="84"/>
    </row>
    <row r="163" spans="1:47" ht="13.5" x14ac:dyDescent="0.3">
      <c r="A163" s="89"/>
      <c r="B163" s="89"/>
      <c r="C163" s="89"/>
      <c r="D163" s="89"/>
      <c r="E163" s="89"/>
      <c r="F163" s="89"/>
      <c r="G163" s="89"/>
      <c r="H163" s="90"/>
      <c r="I163" s="1"/>
      <c r="J163" s="89"/>
      <c r="K163" s="1"/>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row>
    <row r="164" spans="1:47" ht="13.5" x14ac:dyDescent="0.3">
      <c r="A164" s="89"/>
      <c r="B164" s="89"/>
      <c r="C164" s="89"/>
      <c r="D164" s="89"/>
      <c r="E164" s="89"/>
      <c r="F164" s="89"/>
      <c r="G164" s="89"/>
      <c r="H164" s="90"/>
      <c r="I164" s="1"/>
      <c r="J164" s="89"/>
      <c r="K164" s="1"/>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c r="AO164" s="84"/>
      <c r="AP164" s="84"/>
      <c r="AQ164" s="84"/>
      <c r="AR164" s="84"/>
      <c r="AS164" s="84"/>
      <c r="AT164" s="84"/>
      <c r="AU164" s="84"/>
    </row>
    <row r="165" spans="1:47" ht="13.5" x14ac:dyDescent="0.3">
      <c r="A165" s="89"/>
      <c r="B165" s="89"/>
      <c r="C165" s="89"/>
      <c r="D165" s="89"/>
      <c r="E165" s="89"/>
      <c r="F165" s="89"/>
      <c r="G165" s="89"/>
      <c r="H165" s="90"/>
      <c r="I165" s="1"/>
      <c r="J165" s="89"/>
      <c r="K165" s="1"/>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c r="AO165" s="84"/>
      <c r="AP165" s="84"/>
      <c r="AQ165" s="84"/>
      <c r="AR165" s="84"/>
      <c r="AS165" s="84"/>
      <c r="AT165" s="84"/>
      <c r="AU165" s="84"/>
    </row>
    <row r="166" spans="1:47" ht="13.5" x14ac:dyDescent="0.3">
      <c r="A166" s="89"/>
      <c r="B166" s="89"/>
      <c r="C166" s="89"/>
      <c r="D166" s="89"/>
      <c r="E166" s="89"/>
      <c r="F166" s="89"/>
      <c r="G166" s="89"/>
      <c r="H166" s="90"/>
      <c r="I166" s="1"/>
      <c r="J166" s="89"/>
      <c r="K166" s="1"/>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c r="AS166" s="84"/>
      <c r="AT166" s="84"/>
      <c r="AU166" s="84"/>
    </row>
    <row r="167" spans="1:47" ht="13.5" x14ac:dyDescent="0.3">
      <c r="A167" s="89"/>
      <c r="B167" s="89"/>
      <c r="C167" s="89"/>
      <c r="D167" s="89"/>
      <c r="E167" s="89"/>
      <c r="F167" s="89"/>
      <c r="G167" s="89"/>
      <c r="H167" s="90"/>
      <c r="I167" s="1"/>
      <c r="J167" s="89"/>
      <c r="K167" s="1"/>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row>
    <row r="168" spans="1:47" ht="13.5" x14ac:dyDescent="0.3">
      <c r="A168" s="89"/>
      <c r="B168" s="89"/>
      <c r="C168" s="89"/>
      <c r="D168" s="89"/>
      <c r="E168" s="89"/>
      <c r="F168" s="89"/>
      <c r="G168" s="89"/>
      <c r="H168" s="90"/>
      <c r="I168" s="1"/>
      <c r="J168" s="89"/>
      <c r="K168" s="1"/>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c r="AS168" s="84"/>
      <c r="AT168" s="84"/>
      <c r="AU168" s="84"/>
    </row>
    <row r="169" spans="1:47" ht="13.5" x14ac:dyDescent="0.3">
      <c r="A169" s="89"/>
      <c r="B169" s="89"/>
      <c r="C169" s="89"/>
      <c r="D169" s="89"/>
      <c r="E169" s="89"/>
      <c r="F169" s="89"/>
      <c r="G169" s="89"/>
      <c r="H169" s="90"/>
      <c r="I169" s="1"/>
      <c r="J169" s="89"/>
      <c r="K169" s="1"/>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row>
    <row r="170" spans="1:47" ht="13.5" x14ac:dyDescent="0.3">
      <c r="A170" s="89"/>
      <c r="B170" s="89"/>
      <c r="C170" s="89"/>
      <c r="D170" s="89"/>
      <c r="E170" s="89"/>
      <c r="F170" s="89"/>
      <c r="G170" s="89"/>
      <c r="H170" s="90"/>
      <c r="I170" s="1"/>
      <c r="J170" s="89"/>
      <c r="K170" s="1"/>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84"/>
      <c r="AP170" s="84"/>
      <c r="AQ170" s="84"/>
      <c r="AR170" s="84"/>
      <c r="AS170" s="84"/>
      <c r="AT170" s="84"/>
      <c r="AU170" s="84"/>
    </row>
    <row r="171" spans="1:47" ht="13.5" x14ac:dyDescent="0.3">
      <c r="A171" s="89"/>
      <c r="B171" s="89"/>
      <c r="C171" s="89"/>
      <c r="D171" s="89"/>
      <c r="E171" s="89"/>
      <c r="F171" s="89"/>
      <c r="G171" s="89"/>
      <c r="H171" s="90"/>
      <c r="I171" s="1"/>
      <c r="J171" s="89"/>
      <c r="K171" s="1"/>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row>
    <row r="172" spans="1:47" ht="13.5" x14ac:dyDescent="0.3">
      <c r="A172" s="89"/>
      <c r="B172" s="89"/>
      <c r="C172" s="89"/>
      <c r="D172" s="89"/>
      <c r="E172" s="89"/>
      <c r="F172" s="89"/>
      <c r="G172" s="89"/>
      <c r="H172" s="90"/>
      <c r="I172" s="1"/>
      <c r="J172" s="89"/>
      <c r="K172" s="1"/>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c r="AP172" s="84"/>
      <c r="AQ172" s="84"/>
      <c r="AR172" s="84"/>
      <c r="AS172" s="84"/>
      <c r="AT172" s="84"/>
      <c r="AU172" s="84"/>
    </row>
    <row r="173" spans="1:47" ht="13.5" x14ac:dyDescent="0.3">
      <c r="A173" s="89"/>
      <c r="B173" s="89"/>
      <c r="C173" s="89"/>
      <c r="D173" s="89"/>
      <c r="E173" s="89"/>
      <c r="F173" s="89"/>
      <c r="G173" s="89"/>
      <c r="H173" s="90"/>
      <c r="I173" s="1"/>
      <c r="J173" s="89"/>
      <c r="K173" s="1"/>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c r="AP173" s="84"/>
      <c r="AQ173" s="84"/>
      <c r="AR173" s="84"/>
      <c r="AS173" s="84"/>
      <c r="AT173" s="84"/>
      <c r="AU173" s="84"/>
    </row>
    <row r="174" spans="1:47" ht="13.5" x14ac:dyDescent="0.3">
      <c r="A174" s="89"/>
      <c r="B174" s="89"/>
      <c r="C174" s="89"/>
      <c r="D174" s="89"/>
      <c r="E174" s="89"/>
      <c r="F174" s="89"/>
      <c r="G174" s="89"/>
      <c r="H174" s="90"/>
      <c r="I174" s="1"/>
      <c r="J174" s="89"/>
      <c r="K174" s="1"/>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4"/>
      <c r="AM174" s="84"/>
      <c r="AN174" s="84"/>
      <c r="AO174" s="84"/>
      <c r="AP174" s="84"/>
      <c r="AQ174" s="84"/>
      <c r="AR174" s="84"/>
      <c r="AS174" s="84"/>
      <c r="AT174" s="84"/>
      <c r="AU174" s="84"/>
    </row>
    <row r="175" spans="1:47" ht="13.5" x14ac:dyDescent="0.3">
      <c r="A175" s="89"/>
      <c r="B175" s="89"/>
      <c r="C175" s="89"/>
      <c r="D175" s="89"/>
      <c r="E175" s="89"/>
      <c r="F175" s="89"/>
      <c r="G175" s="89"/>
      <c r="H175" s="90"/>
      <c r="I175" s="1"/>
      <c r="J175" s="89"/>
      <c r="K175" s="1"/>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c r="AN175" s="84"/>
      <c r="AO175" s="84"/>
      <c r="AP175" s="84"/>
      <c r="AQ175" s="84"/>
      <c r="AR175" s="84"/>
      <c r="AS175" s="84"/>
      <c r="AT175" s="84"/>
      <c r="AU175" s="84"/>
    </row>
    <row r="176" spans="1:47" ht="13.5" x14ac:dyDescent="0.3">
      <c r="A176" s="89"/>
      <c r="B176" s="89"/>
      <c r="C176" s="89"/>
      <c r="D176" s="89"/>
      <c r="E176" s="89"/>
      <c r="F176" s="89"/>
      <c r="G176" s="89"/>
      <c r="H176" s="90"/>
      <c r="I176" s="1"/>
      <c r="J176" s="89"/>
      <c r="K176" s="1"/>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4"/>
      <c r="AM176" s="84"/>
      <c r="AN176" s="84"/>
      <c r="AO176" s="84"/>
      <c r="AP176" s="84"/>
      <c r="AQ176" s="84"/>
      <c r="AR176" s="84"/>
      <c r="AS176" s="84"/>
      <c r="AT176" s="84"/>
      <c r="AU176" s="84"/>
    </row>
    <row r="177" spans="1:47" ht="13.5" x14ac:dyDescent="0.3">
      <c r="A177" s="89"/>
      <c r="B177" s="89"/>
      <c r="C177" s="89"/>
      <c r="D177" s="89"/>
      <c r="E177" s="89"/>
      <c r="F177" s="89"/>
      <c r="G177" s="89"/>
      <c r="H177" s="90"/>
      <c r="I177" s="1"/>
      <c r="J177" s="89"/>
      <c r="K177" s="1"/>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c r="AS177" s="84"/>
      <c r="AT177" s="84"/>
      <c r="AU177" s="84"/>
    </row>
    <row r="178" spans="1:47" ht="13.5" x14ac:dyDescent="0.3">
      <c r="A178" s="89"/>
      <c r="B178" s="89"/>
      <c r="C178" s="89"/>
      <c r="D178" s="89"/>
      <c r="E178" s="89"/>
      <c r="F178" s="89"/>
      <c r="G178" s="89"/>
      <c r="H178" s="90"/>
      <c r="I178" s="1"/>
      <c r="J178" s="89"/>
      <c r="K178" s="1"/>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c r="AP178" s="84"/>
      <c r="AQ178" s="84"/>
      <c r="AR178" s="84"/>
      <c r="AS178" s="84"/>
      <c r="AT178" s="84"/>
      <c r="AU178" s="84"/>
    </row>
    <row r="179" spans="1:47" ht="13.5" x14ac:dyDescent="0.3">
      <c r="A179" s="89"/>
      <c r="B179" s="89"/>
      <c r="C179" s="89"/>
      <c r="D179" s="89"/>
      <c r="E179" s="89"/>
      <c r="F179" s="89"/>
      <c r="G179" s="89"/>
      <c r="H179" s="90"/>
      <c r="I179" s="1"/>
      <c r="J179" s="89"/>
      <c r="K179" s="1"/>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c r="AN179" s="84"/>
      <c r="AO179" s="84"/>
      <c r="AP179" s="84"/>
      <c r="AQ179" s="84"/>
      <c r="AR179" s="84"/>
      <c r="AS179" s="84"/>
      <c r="AT179" s="84"/>
      <c r="AU179" s="84"/>
    </row>
    <row r="180" spans="1:47" ht="13.5" x14ac:dyDescent="0.3">
      <c r="A180" s="89"/>
      <c r="B180" s="89"/>
      <c r="C180" s="89"/>
      <c r="D180" s="89"/>
      <c r="E180" s="89"/>
      <c r="F180" s="89"/>
      <c r="G180" s="89"/>
      <c r="H180" s="90"/>
      <c r="I180" s="1"/>
      <c r="J180" s="89"/>
      <c r="K180" s="1"/>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84"/>
      <c r="AT180" s="84"/>
      <c r="AU180" s="84"/>
    </row>
    <row r="181" spans="1:47" ht="13.5" x14ac:dyDescent="0.3">
      <c r="A181" s="89"/>
      <c r="B181" s="89"/>
      <c r="C181" s="89"/>
      <c r="D181" s="89"/>
      <c r="E181" s="89"/>
      <c r="F181" s="89"/>
      <c r="G181" s="89"/>
      <c r="H181" s="90"/>
      <c r="I181" s="1"/>
      <c r="J181" s="89"/>
      <c r="K181" s="1"/>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row>
    <row r="182" spans="1:47" ht="13.5" x14ac:dyDescent="0.3">
      <c r="A182" s="89"/>
      <c r="B182" s="89"/>
      <c r="C182" s="89"/>
      <c r="D182" s="89"/>
      <c r="E182" s="89"/>
      <c r="F182" s="89"/>
      <c r="G182" s="89"/>
      <c r="H182" s="90"/>
      <c r="I182" s="1"/>
      <c r="J182" s="89"/>
      <c r="K182" s="1"/>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c r="AN182" s="84"/>
      <c r="AO182" s="84"/>
      <c r="AP182" s="84"/>
      <c r="AQ182" s="84"/>
      <c r="AR182" s="84"/>
      <c r="AS182" s="84"/>
      <c r="AT182" s="84"/>
      <c r="AU182" s="84"/>
    </row>
    <row r="183" spans="1:47" ht="13.5" x14ac:dyDescent="0.3">
      <c r="A183" s="89"/>
      <c r="B183" s="89"/>
      <c r="C183" s="89"/>
      <c r="D183" s="89"/>
      <c r="E183" s="89"/>
      <c r="F183" s="89"/>
      <c r="G183" s="89"/>
      <c r="H183" s="90"/>
      <c r="I183" s="1"/>
      <c r="J183" s="89"/>
      <c r="K183" s="1"/>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row>
    <row r="184" spans="1:47" ht="13.5" x14ac:dyDescent="0.3">
      <c r="A184" s="89"/>
      <c r="B184" s="89"/>
      <c r="C184" s="89"/>
      <c r="D184" s="89"/>
      <c r="E184" s="89"/>
      <c r="F184" s="89"/>
      <c r="G184" s="89"/>
      <c r="H184" s="90"/>
      <c r="I184" s="1"/>
      <c r="J184" s="89"/>
      <c r="K184" s="1"/>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row>
    <row r="185" spans="1:47" ht="13.5" x14ac:dyDescent="0.3">
      <c r="A185" s="89"/>
      <c r="B185" s="89"/>
      <c r="C185" s="89"/>
      <c r="D185" s="89"/>
      <c r="E185" s="89"/>
      <c r="F185" s="89"/>
      <c r="G185" s="89"/>
      <c r="H185" s="90"/>
      <c r="I185" s="1"/>
      <c r="J185" s="89"/>
      <c r="K185" s="1"/>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c r="AN185" s="84"/>
      <c r="AO185" s="84"/>
      <c r="AP185" s="84"/>
      <c r="AQ185" s="84"/>
      <c r="AR185" s="84"/>
      <c r="AS185" s="84"/>
      <c r="AT185" s="84"/>
      <c r="AU185" s="84"/>
    </row>
    <row r="186" spans="1:47" ht="13.5" x14ac:dyDescent="0.3">
      <c r="A186" s="89"/>
      <c r="B186" s="89"/>
      <c r="C186" s="89"/>
      <c r="D186" s="89"/>
      <c r="E186" s="89"/>
      <c r="F186" s="89"/>
      <c r="G186" s="89"/>
      <c r="H186" s="90"/>
      <c r="I186" s="1"/>
      <c r="J186" s="89"/>
      <c r="K186" s="1"/>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row>
    <row r="187" spans="1:47" ht="13.5" x14ac:dyDescent="0.3">
      <c r="A187" s="89"/>
      <c r="B187" s="89"/>
      <c r="C187" s="89"/>
      <c r="D187" s="89"/>
      <c r="E187" s="89"/>
      <c r="F187" s="89"/>
      <c r="G187" s="89"/>
      <c r="H187" s="90"/>
      <c r="I187" s="1"/>
      <c r="J187" s="89"/>
      <c r="K187" s="1"/>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c r="AP187" s="84"/>
      <c r="AQ187" s="84"/>
      <c r="AR187" s="84"/>
      <c r="AS187" s="84"/>
      <c r="AT187" s="84"/>
      <c r="AU187" s="84"/>
    </row>
    <row r="188" spans="1:47" ht="13.5" x14ac:dyDescent="0.3">
      <c r="A188" s="89"/>
      <c r="B188" s="89"/>
      <c r="C188" s="89"/>
      <c r="D188" s="89"/>
      <c r="E188" s="89"/>
      <c r="F188" s="89"/>
      <c r="G188" s="89"/>
      <c r="H188" s="90"/>
      <c r="I188" s="1"/>
      <c r="J188" s="89"/>
      <c r="K188" s="1"/>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4"/>
      <c r="AM188" s="84"/>
      <c r="AN188" s="84"/>
      <c r="AO188" s="84"/>
      <c r="AP188" s="84"/>
      <c r="AQ188" s="84"/>
      <c r="AR188" s="84"/>
      <c r="AS188" s="84"/>
      <c r="AT188" s="84"/>
      <c r="AU188" s="84"/>
    </row>
    <row r="189" spans="1:47" ht="13.5" x14ac:dyDescent="0.3">
      <c r="A189" s="89"/>
      <c r="B189" s="89"/>
      <c r="C189" s="89"/>
      <c r="D189" s="89"/>
      <c r="E189" s="89"/>
      <c r="F189" s="89"/>
      <c r="G189" s="89"/>
      <c r="H189" s="90"/>
      <c r="I189" s="1"/>
      <c r="J189" s="89"/>
      <c r="K189" s="1"/>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c r="AP189" s="84"/>
      <c r="AQ189" s="84"/>
      <c r="AR189" s="84"/>
      <c r="AS189" s="84"/>
      <c r="AT189" s="84"/>
      <c r="AU189" s="84"/>
    </row>
    <row r="190" spans="1:47" ht="13.5" x14ac:dyDescent="0.3">
      <c r="A190" s="89"/>
      <c r="B190" s="89"/>
      <c r="C190" s="89"/>
      <c r="D190" s="89"/>
      <c r="E190" s="89"/>
      <c r="F190" s="89"/>
      <c r="G190" s="89"/>
      <c r="H190" s="90"/>
      <c r="I190" s="1"/>
      <c r="J190" s="89"/>
      <c r="K190" s="1"/>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c r="AP190" s="84"/>
      <c r="AQ190" s="84"/>
      <c r="AR190" s="84"/>
      <c r="AS190" s="84"/>
      <c r="AT190" s="84"/>
      <c r="AU190" s="84"/>
    </row>
    <row r="191" spans="1:47" ht="13.5" x14ac:dyDescent="0.3">
      <c r="A191" s="89"/>
      <c r="B191" s="89"/>
      <c r="C191" s="89"/>
      <c r="D191" s="89"/>
      <c r="E191" s="89"/>
      <c r="F191" s="89"/>
      <c r="G191" s="89"/>
      <c r="H191" s="90"/>
      <c r="I191" s="1"/>
      <c r="J191" s="89"/>
      <c r="K191" s="1"/>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c r="AS191" s="84"/>
      <c r="AT191" s="84"/>
      <c r="AU191" s="84"/>
    </row>
    <row r="192" spans="1:47" ht="13.5" x14ac:dyDescent="0.3">
      <c r="A192" s="89"/>
      <c r="B192" s="89"/>
      <c r="C192" s="89"/>
      <c r="D192" s="89"/>
      <c r="E192" s="89"/>
      <c r="F192" s="89"/>
      <c r="G192" s="89"/>
      <c r="H192" s="90"/>
      <c r="I192" s="1"/>
      <c r="J192" s="89"/>
      <c r="K192" s="1"/>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c r="AN192" s="84"/>
      <c r="AO192" s="84"/>
      <c r="AP192" s="84"/>
      <c r="AQ192" s="84"/>
      <c r="AR192" s="84"/>
      <c r="AS192" s="84"/>
      <c r="AT192" s="84"/>
      <c r="AU192" s="84"/>
    </row>
    <row r="193" spans="1:47" ht="13.5" x14ac:dyDescent="0.3">
      <c r="A193" s="89"/>
      <c r="B193" s="89"/>
      <c r="C193" s="89"/>
      <c r="D193" s="89"/>
      <c r="E193" s="89"/>
      <c r="F193" s="89"/>
      <c r="G193" s="89"/>
      <c r="H193" s="90"/>
      <c r="I193" s="1"/>
      <c r="J193" s="89"/>
      <c r="K193" s="1"/>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c r="AS193" s="84"/>
      <c r="AT193" s="84"/>
      <c r="AU193" s="84"/>
    </row>
    <row r="194" spans="1:47" ht="13.5" x14ac:dyDescent="0.3">
      <c r="A194" s="89"/>
      <c r="B194" s="89"/>
      <c r="C194" s="89"/>
      <c r="D194" s="89"/>
      <c r="E194" s="89"/>
      <c r="F194" s="89"/>
      <c r="G194" s="89"/>
      <c r="H194" s="90"/>
      <c r="I194" s="1"/>
      <c r="J194" s="89"/>
      <c r="K194" s="1"/>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c r="AP194" s="84"/>
      <c r="AQ194" s="84"/>
      <c r="AR194" s="84"/>
      <c r="AS194" s="84"/>
      <c r="AT194" s="84"/>
      <c r="AU194" s="84"/>
    </row>
    <row r="195" spans="1:47" ht="13.5" x14ac:dyDescent="0.3">
      <c r="A195" s="89"/>
      <c r="B195" s="89"/>
      <c r="C195" s="89"/>
      <c r="D195" s="89"/>
      <c r="E195" s="89"/>
      <c r="F195" s="89"/>
      <c r="G195" s="89"/>
      <c r="H195" s="90"/>
      <c r="I195" s="1"/>
      <c r="J195" s="89"/>
      <c r="K195" s="1"/>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c r="AP195" s="84"/>
      <c r="AQ195" s="84"/>
      <c r="AR195" s="84"/>
      <c r="AS195" s="84"/>
      <c r="AT195" s="84"/>
      <c r="AU195" s="84"/>
    </row>
    <row r="196" spans="1:47" ht="13.5" x14ac:dyDescent="0.3">
      <c r="A196" s="89"/>
      <c r="B196" s="89"/>
      <c r="C196" s="89"/>
      <c r="D196" s="89"/>
      <c r="E196" s="89"/>
      <c r="F196" s="89"/>
      <c r="G196" s="89"/>
      <c r="H196" s="90"/>
      <c r="I196" s="1"/>
      <c r="J196" s="89"/>
      <c r="K196" s="1"/>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row>
    <row r="197" spans="1:47" ht="13.5" x14ac:dyDescent="0.3">
      <c r="A197" s="89"/>
      <c r="B197" s="89"/>
      <c r="C197" s="89"/>
      <c r="D197" s="89"/>
      <c r="E197" s="89"/>
      <c r="F197" s="89"/>
      <c r="G197" s="89"/>
      <c r="H197" s="90"/>
      <c r="I197" s="1"/>
      <c r="J197" s="89"/>
      <c r="K197" s="1"/>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row>
    <row r="198" spans="1:47" ht="13.5" x14ac:dyDescent="0.3">
      <c r="A198" s="89"/>
      <c r="B198" s="89"/>
      <c r="C198" s="89"/>
      <c r="D198" s="89"/>
      <c r="E198" s="89"/>
      <c r="F198" s="89"/>
      <c r="G198" s="89"/>
      <c r="H198" s="90"/>
      <c r="I198" s="1"/>
      <c r="J198" s="89"/>
      <c r="K198" s="1"/>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row>
    <row r="199" spans="1:47" ht="13.5" x14ac:dyDescent="0.3">
      <c r="A199" s="89"/>
      <c r="B199" s="89"/>
      <c r="C199" s="89"/>
      <c r="D199" s="89"/>
      <c r="E199" s="89"/>
      <c r="F199" s="89"/>
      <c r="G199" s="89"/>
      <c r="H199" s="90"/>
      <c r="I199" s="1"/>
      <c r="J199" s="89"/>
      <c r="K199" s="1"/>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c r="AN199" s="84"/>
      <c r="AO199" s="84"/>
      <c r="AP199" s="84"/>
      <c r="AQ199" s="84"/>
      <c r="AR199" s="84"/>
      <c r="AS199" s="84"/>
      <c r="AT199" s="84"/>
      <c r="AU199" s="84"/>
    </row>
    <row r="200" spans="1:47" ht="13.5" x14ac:dyDescent="0.3">
      <c r="A200" s="89"/>
      <c r="B200" s="89"/>
      <c r="C200" s="89"/>
      <c r="D200" s="89"/>
      <c r="E200" s="89"/>
      <c r="F200" s="89"/>
      <c r="G200" s="89"/>
      <c r="H200" s="90"/>
      <c r="I200" s="1"/>
      <c r="J200" s="89"/>
      <c r="K200" s="1"/>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c r="AN200" s="84"/>
      <c r="AO200" s="84"/>
      <c r="AP200" s="84"/>
      <c r="AQ200" s="84"/>
      <c r="AR200" s="84"/>
      <c r="AS200" s="84"/>
      <c r="AT200" s="84"/>
      <c r="AU200" s="84"/>
    </row>
    <row r="201" spans="1:47" ht="13.5" x14ac:dyDescent="0.3">
      <c r="A201" s="89"/>
      <c r="B201" s="89"/>
      <c r="C201" s="89"/>
      <c r="D201" s="89"/>
      <c r="E201" s="89"/>
      <c r="F201" s="89"/>
      <c r="G201" s="89"/>
      <c r="H201" s="90"/>
      <c r="I201" s="1"/>
      <c r="J201" s="89"/>
      <c r="K201" s="1"/>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c r="AN201" s="84"/>
      <c r="AO201" s="84"/>
      <c r="AP201" s="84"/>
      <c r="AQ201" s="84"/>
      <c r="AR201" s="84"/>
      <c r="AS201" s="84"/>
      <c r="AT201" s="84"/>
      <c r="AU201" s="84"/>
    </row>
    <row r="202" spans="1:47" ht="13.5" x14ac:dyDescent="0.3">
      <c r="A202" s="89"/>
      <c r="B202" s="89"/>
      <c r="C202" s="89"/>
      <c r="D202" s="89"/>
      <c r="E202" s="89"/>
      <c r="F202" s="89"/>
      <c r="G202" s="89"/>
      <c r="H202" s="90"/>
      <c r="I202" s="1"/>
      <c r="J202" s="89"/>
      <c r="K202" s="1"/>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c r="AL202" s="84"/>
      <c r="AM202" s="84"/>
      <c r="AN202" s="84"/>
      <c r="AO202" s="84"/>
      <c r="AP202" s="84"/>
      <c r="AQ202" s="84"/>
      <c r="AR202" s="84"/>
      <c r="AS202" s="84"/>
      <c r="AT202" s="84"/>
      <c r="AU202" s="84"/>
    </row>
    <row r="203" spans="1:47" ht="13.5" x14ac:dyDescent="0.3">
      <c r="A203" s="89"/>
      <c r="B203" s="89"/>
      <c r="C203" s="89"/>
      <c r="D203" s="89"/>
      <c r="E203" s="89"/>
      <c r="F203" s="89"/>
      <c r="G203" s="89"/>
      <c r="H203" s="90"/>
      <c r="I203" s="1"/>
      <c r="J203" s="89"/>
      <c r="K203" s="1"/>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c r="AN203" s="84"/>
      <c r="AO203" s="84"/>
      <c r="AP203" s="84"/>
      <c r="AQ203" s="84"/>
      <c r="AR203" s="84"/>
      <c r="AS203" s="84"/>
      <c r="AT203" s="84"/>
      <c r="AU203" s="84"/>
    </row>
    <row r="204" spans="1:47" ht="13.5" x14ac:dyDescent="0.3">
      <c r="A204" s="89"/>
      <c r="B204" s="89"/>
      <c r="C204" s="89"/>
      <c r="D204" s="89"/>
      <c r="E204" s="89"/>
      <c r="F204" s="89"/>
      <c r="G204" s="89"/>
      <c r="H204" s="90"/>
      <c r="I204" s="1"/>
      <c r="J204" s="89"/>
      <c r="K204" s="1"/>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c r="AL204" s="84"/>
      <c r="AM204" s="84"/>
      <c r="AN204" s="84"/>
      <c r="AO204" s="84"/>
      <c r="AP204" s="84"/>
      <c r="AQ204" s="84"/>
      <c r="AR204" s="84"/>
      <c r="AS204" s="84"/>
      <c r="AT204" s="84"/>
      <c r="AU204" s="84"/>
    </row>
    <row r="205" spans="1:47" ht="13.5" x14ac:dyDescent="0.3">
      <c r="A205" s="89"/>
      <c r="B205" s="89"/>
      <c r="C205" s="89"/>
      <c r="D205" s="89"/>
      <c r="E205" s="89"/>
      <c r="F205" s="89"/>
      <c r="G205" s="89"/>
      <c r="H205" s="90"/>
      <c r="I205" s="1"/>
      <c r="J205" s="89"/>
      <c r="K205" s="1"/>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c r="AL205" s="84"/>
      <c r="AM205" s="84"/>
      <c r="AN205" s="84"/>
      <c r="AO205" s="84"/>
      <c r="AP205" s="84"/>
      <c r="AQ205" s="84"/>
      <c r="AR205" s="84"/>
      <c r="AS205" s="84"/>
      <c r="AT205" s="84"/>
      <c r="AU205" s="84"/>
    </row>
    <row r="206" spans="1:47" ht="13.5" x14ac:dyDescent="0.3">
      <c r="A206" s="89"/>
      <c r="B206" s="89"/>
      <c r="C206" s="89"/>
      <c r="D206" s="89"/>
      <c r="E206" s="89"/>
      <c r="F206" s="89"/>
      <c r="G206" s="89"/>
      <c r="H206" s="90"/>
      <c r="I206" s="1"/>
      <c r="J206" s="89"/>
      <c r="K206" s="1"/>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c r="AL206" s="84"/>
      <c r="AM206" s="84"/>
      <c r="AN206" s="84"/>
      <c r="AO206" s="84"/>
      <c r="AP206" s="84"/>
      <c r="AQ206" s="84"/>
      <c r="AR206" s="84"/>
      <c r="AS206" s="84"/>
      <c r="AT206" s="84"/>
      <c r="AU206" s="84"/>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C04E-D7A5-4474-B2CD-A987F4FB4F0E}">
  <sheetPr>
    <tabColor rgb="FFFFFFFF"/>
    <outlinePr summaryBelow="0" summaryRight="0"/>
  </sheetPr>
  <dimension ref="A1:AU122"/>
  <sheetViews>
    <sheetView workbookViewId="0"/>
  </sheetViews>
  <sheetFormatPr defaultColWidth="14" defaultRowHeight="13" x14ac:dyDescent="0.3"/>
  <cols>
    <col min="1" max="47" width="14" customWidth="1"/>
  </cols>
  <sheetData>
    <row r="1" spans="1:44" ht="19" customHeight="1" x14ac:dyDescent="0.3">
      <c r="A1" s="1"/>
      <c r="B1" s="1"/>
      <c r="C1" s="1"/>
      <c r="D1" s="84" t="s">
        <v>238</v>
      </c>
      <c r="E1" s="95" t="s">
        <v>164</v>
      </c>
      <c r="F1" s="95" t="s">
        <v>239</v>
      </c>
      <c r="G1" s="95" t="s">
        <v>240</v>
      </c>
      <c r="H1" s="84" t="s">
        <v>241</v>
      </c>
      <c r="I1" s="84" t="s">
        <v>242</v>
      </c>
      <c r="J1" s="84" t="s">
        <v>243</v>
      </c>
      <c r="K1" s="1"/>
      <c r="L1" s="84" t="s">
        <v>244</v>
      </c>
      <c r="M1" s="84" t="s">
        <v>245</v>
      </c>
      <c r="N1" s="84" t="s">
        <v>246</v>
      </c>
      <c r="O1" s="84" t="s">
        <v>247</v>
      </c>
      <c r="P1" s="84" t="s">
        <v>248</v>
      </c>
      <c r="Q1" s="84" t="s">
        <v>249</v>
      </c>
      <c r="R1" s="84" t="s">
        <v>250</v>
      </c>
      <c r="S1" s="84" t="s">
        <v>251</v>
      </c>
      <c r="T1" s="84" t="s">
        <v>252</v>
      </c>
      <c r="U1" s="1"/>
      <c r="V1" s="1"/>
      <c r="W1" s="1"/>
      <c r="X1" s="1"/>
      <c r="Y1" s="1"/>
      <c r="Z1" s="1"/>
      <c r="AA1" s="1"/>
      <c r="AB1" s="1"/>
      <c r="AC1" s="1"/>
      <c r="AD1" s="84" t="s">
        <v>262</v>
      </c>
      <c r="AE1" s="84" t="s">
        <v>263</v>
      </c>
      <c r="AF1" s="84" t="s">
        <v>264</v>
      </c>
      <c r="AG1" s="1"/>
      <c r="AH1" s="1"/>
      <c r="AI1" s="1"/>
      <c r="AJ1" s="84" t="s">
        <v>268</v>
      </c>
      <c r="AK1" s="84" t="s">
        <v>269</v>
      </c>
      <c r="AL1" s="84" t="s">
        <v>270</v>
      </c>
      <c r="AM1" s="1"/>
      <c r="AN1" s="1"/>
      <c r="AO1" s="1"/>
      <c r="AP1" s="84" t="s">
        <v>274</v>
      </c>
      <c r="AQ1" s="84" t="s">
        <v>275</v>
      </c>
      <c r="AR1" s="84" t="s">
        <v>276</v>
      </c>
    </row>
    <row r="2" spans="1:44" ht="19" customHeight="1" x14ac:dyDescent="0.3">
      <c r="A2" s="75" t="s">
        <v>143</v>
      </c>
      <c r="B2" s="75"/>
      <c r="C2" s="75"/>
      <c r="D2" s="89">
        <f>IF(路线!B4="计算",持有情况!S114,持有情况!R112)-ROW()*0.00001</f>
        <v>253.99997999999999</v>
      </c>
      <c r="E2" s="90">
        <v>0</v>
      </c>
      <c r="F2" s="90">
        <v>0</v>
      </c>
      <c r="G2" s="89">
        <v>2</v>
      </c>
      <c r="H2" s="89">
        <v>1</v>
      </c>
      <c r="I2" s="1"/>
      <c r="J2" s="89">
        <f>IF(路线!B4="计算",INT(60+22+21*IF(路线!B38&lt;=3,路线!B38,3)+7*路线!B30+40+20),INT(60+22+21*IF(路线!B38&lt;=3,路线!B38,3)+7*路线!B30+40))-ROW()*0.00001</f>
        <v>253.99997999999999</v>
      </c>
      <c r="K2" s="1"/>
      <c r="L2" s="84" t="str">
        <f t="shared" ref="L2:L33" si="0">IF(AND(OR(E2=1,E2=0),G2=1),D2,"")</f>
        <v/>
      </c>
      <c r="M2" s="84" t="str">
        <f t="shared" ref="M2:M33" si="1">IF(AND(OR(E2=2,E2=0),G2=1),D2,"")</f>
        <v/>
      </c>
      <c r="N2" s="84" t="str">
        <f t="shared" ref="N2:N33" si="2">IF(AND(OR(E2=3,E2=0),G2=1),D2,"")</f>
        <v/>
      </c>
      <c r="O2" s="84">
        <f t="shared" ref="O2:O33" si="3">IF(AND(OR(E2=1,E2=0),G2=2),D2,"")</f>
        <v>253.99997999999999</v>
      </c>
      <c r="P2" s="84">
        <f t="shared" ref="P2:P33" si="4">IF(AND(OR(E2=2,E2=0),G2=2),D2,"")</f>
        <v>253.99997999999999</v>
      </c>
      <c r="Q2" s="84">
        <f t="shared" ref="Q2:Q33" si="5">IF(AND(OR(E2=3,E2=0),G2=2),D2,"")</f>
        <v>253.99997999999999</v>
      </c>
      <c r="R2" s="84" t="str">
        <f t="shared" ref="R2:R33" si="6">IF(AND(OR(E2=1,E2=0),G2=3),D2,"")</f>
        <v/>
      </c>
      <c r="S2" s="84" t="str">
        <f t="shared" ref="S2:S33" si="7">IF(AND(OR(E2=2,E2=0),G2=3),D2,"")</f>
        <v/>
      </c>
      <c r="T2" s="84" t="str">
        <f t="shared" ref="T2:T33" si="8">IF(AND(OR(E2=3,E2=0),G2=3),D2,"")</f>
        <v/>
      </c>
      <c r="U2" s="1"/>
      <c r="V2" s="1"/>
      <c r="W2" s="1"/>
      <c r="X2" s="1"/>
      <c r="Y2" s="1"/>
      <c r="Z2" s="1"/>
      <c r="AA2" s="1"/>
      <c r="AB2" s="1"/>
      <c r="AC2" s="1"/>
      <c r="AD2" s="84" t="str">
        <f t="shared" ref="AD2:AD33" si="9">IF(AND(OR(E2=1,E2=0),G2=1),J2,"")</f>
        <v/>
      </c>
      <c r="AE2" s="84">
        <f t="shared" ref="AE2:AE33" si="10">IF(AND(OR(E2=1,E2=0),G2=2),J2,"")</f>
        <v>253.99997999999999</v>
      </c>
      <c r="AF2" s="84" t="str">
        <f t="shared" ref="AF2:AF33" si="11">IF(AND(OR(E2=1,E2=0),G2=3),J2,"")</f>
        <v/>
      </c>
      <c r="AG2" s="1"/>
      <c r="AH2" s="1"/>
      <c r="AI2" s="1"/>
      <c r="AJ2" s="84" t="str">
        <f t="shared" ref="AJ2:AJ33" si="12">IF(AND(OR(E2=2,E2=0),G2=1),J2,"")</f>
        <v/>
      </c>
      <c r="AK2" s="84">
        <f t="shared" ref="AK2:AK33" si="13">IF(AND(OR(E2=2,E2=0),G2=2),J2,"")</f>
        <v>253.99997999999999</v>
      </c>
      <c r="AL2" s="84" t="str">
        <f t="shared" ref="AL2:AL33" si="14">IF(AND(OR(E2=2,E2=0),G2=3),J2,"")</f>
        <v/>
      </c>
      <c r="AM2" s="1"/>
      <c r="AN2" s="1"/>
      <c r="AO2" s="1"/>
      <c r="AP2" s="84" t="str">
        <f t="shared" ref="AP2:AP33" si="15">IF(AND(OR(E2=3,E2=0),G2=1),J2,"")</f>
        <v/>
      </c>
      <c r="AQ2" s="84">
        <f t="shared" ref="AQ2:AQ33" si="16">IF(AND(OR(E2=3,E2=0),G2=2),J2,"")</f>
        <v>253.99997999999999</v>
      </c>
      <c r="AR2" s="84" t="str">
        <f t="shared" ref="AR2:AR33" si="17">IF(AND(OR(E2=3,E2=0),G2=3),J2,"")</f>
        <v/>
      </c>
    </row>
    <row r="3" spans="1:44" ht="19" customHeight="1" x14ac:dyDescent="0.3">
      <c r="A3" s="57" t="s">
        <v>115</v>
      </c>
      <c r="B3" s="57"/>
      <c r="C3" s="57"/>
      <c r="D3" s="89">
        <f>IF(路线!B4="计算",持有情况!AM84,持有情况!AL82)-ROW()*0.00001</f>
        <v>181.99996999999999</v>
      </c>
      <c r="E3" s="90">
        <v>0</v>
      </c>
      <c r="F3" s="90">
        <v>0</v>
      </c>
      <c r="G3" s="89">
        <v>1</v>
      </c>
      <c r="H3" s="90">
        <v>0</v>
      </c>
      <c r="I3" s="1"/>
      <c r="J3" s="89">
        <f>IF(路线!B4="计算",INT(45+10*路线!B31+5*路线!B30+3*(路线!B28+路线!B29)+30+持有情况!AM81),INT(45+10*路线!B31+5*路线!B30+3*(路线!B28+路线!B29)+30))-ROW()*0.00001</f>
        <v>181.99996999999999</v>
      </c>
      <c r="K3" s="1"/>
      <c r="L3" s="84">
        <f t="shared" si="0"/>
        <v>181.99996999999999</v>
      </c>
      <c r="M3" s="84">
        <f t="shared" si="1"/>
        <v>181.99996999999999</v>
      </c>
      <c r="N3" s="84">
        <f t="shared" si="2"/>
        <v>181.99996999999999</v>
      </c>
      <c r="O3" s="84" t="str">
        <f t="shared" si="3"/>
        <v/>
      </c>
      <c r="P3" s="84" t="str">
        <f t="shared" si="4"/>
        <v/>
      </c>
      <c r="Q3" s="84" t="str">
        <f t="shared" si="5"/>
        <v/>
      </c>
      <c r="R3" s="84" t="str">
        <f t="shared" si="6"/>
        <v/>
      </c>
      <c r="S3" s="84" t="str">
        <f t="shared" si="7"/>
        <v/>
      </c>
      <c r="T3" s="84" t="str">
        <f t="shared" si="8"/>
        <v/>
      </c>
      <c r="U3" s="1"/>
      <c r="V3" s="1"/>
      <c r="W3" s="1"/>
      <c r="X3" s="1"/>
      <c r="Y3" s="1"/>
      <c r="Z3" s="1"/>
      <c r="AA3" s="1"/>
      <c r="AB3" s="1"/>
      <c r="AC3" s="1"/>
      <c r="AD3" s="84">
        <f t="shared" si="9"/>
        <v>181.99996999999999</v>
      </c>
      <c r="AE3" s="84" t="str">
        <f t="shared" si="10"/>
        <v/>
      </c>
      <c r="AF3" s="84" t="str">
        <f t="shared" si="11"/>
        <v/>
      </c>
      <c r="AG3" s="1"/>
      <c r="AH3" s="1"/>
      <c r="AI3" s="1"/>
      <c r="AJ3" s="84">
        <f t="shared" si="12"/>
        <v>181.99996999999999</v>
      </c>
      <c r="AK3" s="84" t="str">
        <f t="shared" si="13"/>
        <v/>
      </c>
      <c r="AL3" s="84" t="str">
        <f t="shared" si="14"/>
        <v/>
      </c>
      <c r="AM3" s="1"/>
      <c r="AN3" s="1"/>
      <c r="AO3" s="1"/>
      <c r="AP3" s="84">
        <f t="shared" si="15"/>
        <v>181.99996999999999</v>
      </c>
      <c r="AQ3" s="84" t="str">
        <f t="shared" si="16"/>
        <v/>
      </c>
      <c r="AR3" s="84" t="str">
        <f t="shared" si="17"/>
        <v/>
      </c>
    </row>
    <row r="4" spans="1:44" ht="19" customHeight="1" x14ac:dyDescent="0.3">
      <c r="A4" s="57" t="s">
        <v>133</v>
      </c>
      <c r="B4" s="57"/>
      <c r="C4" s="57"/>
      <c r="D4" s="89">
        <f>持有情况!H100-ROW()*0.00001</f>
        <v>167.99995999999999</v>
      </c>
      <c r="E4" s="89">
        <v>2</v>
      </c>
      <c r="F4" s="90">
        <v>0</v>
      </c>
      <c r="G4" s="89">
        <v>1</v>
      </c>
      <c r="H4" s="90">
        <v>0</v>
      </c>
      <c r="I4" s="1"/>
      <c r="J4" s="89">
        <f>INT(60+4*路线!B27+17*路线!B21+15*路线!B31+40)-ROW()*0.00001</f>
        <v>167.99995999999999</v>
      </c>
      <c r="K4" s="1"/>
      <c r="L4" s="84" t="str">
        <f t="shared" si="0"/>
        <v/>
      </c>
      <c r="M4" s="84">
        <f t="shared" si="1"/>
        <v>167.99995999999999</v>
      </c>
      <c r="N4" s="84" t="str">
        <f t="shared" si="2"/>
        <v/>
      </c>
      <c r="O4" s="84" t="str">
        <f t="shared" si="3"/>
        <v/>
      </c>
      <c r="P4" s="84" t="str">
        <f t="shared" si="4"/>
        <v/>
      </c>
      <c r="Q4" s="84" t="str">
        <f t="shared" si="5"/>
        <v/>
      </c>
      <c r="R4" s="84" t="str">
        <f t="shared" si="6"/>
        <v/>
      </c>
      <c r="S4" s="84" t="str">
        <f t="shared" si="7"/>
        <v/>
      </c>
      <c r="T4" s="84" t="str">
        <f t="shared" si="8"/>
        <v/>
      </c>
      <c r="U4" s="1"/>
      <c r="V4" s="1"/>
      <c r="W4" s="1"/>
      <c r="X4" s="1"/>
      <c r="Y4" s="1"/>
      <c r="Z4" s="1"/>
      <c r="AA4" s="1"/>
      <c r="AB4" s="1"/>
      <c r="AC4" s="1"/>
      <c r="AD4" s="84" t="str">
        <f t="shared" si="9"/>
        <v/>
      </c>
      <c r="AE4" s="84" t="str">
        <f t="shared" si="10"/>
        <v/>
      </c>
      <c r="AF4" s="84" t="str">
        <f t="shared" si="11"/>
        <v/>
      </c>
      <c r="AG4" s="1"/>
      <c r="AH4" s="1"/>
      <c r="AI4" s="1"/>
      <c r="AJ4" s="84">
        <f t="shared" si="12"/>
        <v>167.99995999999999</v>
      </c>
      <c r="AK4" s="84" t="str">
        <f t="shared" si="13"/>
        <v/>
      </c>
      <c r="AL4" s="84" t="str">
        <f t="shared" si="14"/>
        <v/>
      </c>
      <c r="AM4" s="1"/>
      <c r="AN4" s="1"/>
      <c r="AO4" s="1"/>
      <c r="AP4" s="84" t="str">
        <f t="shared" si="15"/>
        <v/>
      </c>
      <c r="AQ4" s="84" t="str">
        <f t="shared" si="16"/>
        <v/>
      </c>
      <c r="AR4" s="84" t="str">
        <f t="shared" si="17"/>
        <v/>
      </c>
    </row>
    <row r="5" spans="1:44" ht="19" customHeight="1" x14ac:dyDescent="0.3">
      <c r="A5" s="67" t="s">
        <v>118</v>
      </c>
      <c r="B5" s="67"/>
      <c r="C5" s="67"/>
      <c r="D5" s="89">
        <f>IF(路线!B4="计算",持有情况!BG84,持有情况!BF82)-ROW()*0.00001</f>
        <v>198.99995000000001</v>
      </c>
      <c r="E5" s="89">
        <v>3</v>
      </c>
      <c r="F5" s="90">
        <v>0</v>
      </c>
      <c r="G5" s="89">
        <v>3</v>
      </c>
      <c r="H5" s="90">
        <v>0</v>
      </c>
      <c r="I5" s="1"/>
      <c r="J5" s="89">
        <f>IF(路线!B4="计算",INT(45+6*路线!B29+17+5*路线!B30+30+持有情况!BG81),INT(45+6*路线!B29+17+5*路线!B30+30))-ROW()*0.00001</f>
        <v>198.99995000000001</v>
      </c>
      <c r="K5" s="1"/>
      <c r="L5" s="84" t="str">
        <f t="shared" si="0"/>
        <v/>
      </c>
      <c r="M5" s="84" t="str">
        <f t="shared" si="1"/>
        <v/>
      </c>
      <c r="N5" s="84" t="str">
        <f t="shared" si="2"/>
        <v/>
      </c>
      <c r="O5" s="84" t="str">
        <f t="shared" si="3"/>
        <v/>
      </c>
      <c r="P5" s="84" t="str">
        <f t="shared" si="4"/>
        <v/>
      </c>
      <c r="Q5" s="84" t="str">
        <f t="shared" si="5"/>
        <v/>
      </c>
      <c r="R5" s="84" t="str">
        <f t="shared" si="6"/>
        <v/>
      </c>
      <c r="S5" s="84" t="str">
        <f t="shared" si="7"/>
        <v/>
      </c>
      <c r="T5" s="84">
        <f t="shared" si="8"/>
        <v>198.99995000000001</v>
      </c>
      <c r="U5" s="1"/>
      <c r="V5" s="1"/>
      <c r="W5" s="1"/>
      <c r="X5" s="1"/>
      <c r="Y5" s="1"/>
      <c r="Z5" s="1"/>
      <c r="AA5" s="1"/>
      <c r="AB5" s="1"/>
      <c r="AC5" s="1"/>
      <c r="AD5" s="84" t="str">
        <f t="shared" si="9"/>
        <v/>
      </c>
      <c r="AE5" s="84" t="str">
        <f t="shared" si="10"/>
        <v/>
      </c>
      <c r="AF5" s="84" t="str">
        <f t="shared" si="11"/>
        <v/>
      </c>
      <c r="AG5" s="1"/>
      <c r="AH5" s="1"/>
      <c r="AI5" s="1"/>
      <c r="AJ5" s="84" t="str">
        <f t="shared" si="12"/>
        <v/>
      </c>
      <c r="AK5" s="84" t="str">
        <f t="shared" si="13"/>
        <v/>
      </c>
      <c r="AL5" s="84" t="str">
        <f t="shared" si="14"/>
        <v/>
      </c>
      <c r="AM5" s="1"/>
      <c r="AN5" s="1"/>
      <c r="AO5" s="1"/>
      <c r="AP5" s="84" t="str">
        <f t="shared" si="15"/>
        <v/>
      </c>
      <c r="AQ5" s="84" t="str">
        <f t="shared" si="16"/>
        <v/>
      </c>
      <c r="AR5" s="84">
        <f t="shared" si="17"/>
        <v>198.99995000000001</v>
      </c>
    </row>
    <row r="6" spans="1:44" ht="19" customHeight="1" x14ac:dyDescent="0.3">
      <c r="A6" s="67" t="s">
        <v>135</v>
      </c>
      <c r="B6" s="67"/>
      <c r="C6" s="67"/>
      <c r="D6" s="89">
        <f>IF(路线!B4="计算",持有情况!AC102,持有情况!AB100)-ROW()*0.00001</f>
        <v>166.99994000000001</v>
      </c>
      <c r="E6" s="89">
        <v>3</v>
      </c>
      <c r="F6" s="89">
        <v>1</v>
      </c>
      <c r="G6" s="89">
        <v>3</v>
      </c>
      <c r="H6" s="89">
        <v>1</v>
      </c>
      <c r="I6" s="1"/>
      <c r="J6" s="89">
        <f>IF(路线!B4="计算",INT(60+6*路线!B20+4*路线!B26+40+持有情况!AC99),INT(60+6*路线!B20+4*路线!B26+40))-ROW()*0.00001</f>
        <v>166.99994000000001</v>
      </c>
      <c r="K6" s="1"/>
      <c r="L6" s="84" t="str">
        <f t="shared" si="0"/>
        <v/>
      </c>
      <c r="M6" s="84" t="str">
        <f t="shared" si="1"/>
        <v/>
      </c>
      <c r="N6" s="84" t="str">
        <f t="shared" si="2"/>
        <v/>
      </c>
      <c r="O6" s="84" t="str">
        <f t="shared" si="3"/>
        <v/>
      </c>
      <c r="P6" s="84" t="str">
        <f t="shared" si="4"/>
        <v/>
      </c>
      <c r="Q6" s="84" t="str">
        <f t="shared" si="5"/>
        <v/>
      </c>
      <c r="R6" s="84" t="str">
        <f t="shared" si="6"/>
        <v/>
      </c>
      <c r="S6" s="84" t="str">
        <f t="shared" si="7"/>
        <v/>
      </c>
      <c r="T6" s="84">
        <f t="shared" si="8"/>
        <v>166.99994000000001</v>
      </c>
      <c r="U6" s="1"/>
      <c r="V6" s="1"/>
      <c r="W6" s="1"/>
      <c r="X6" s="1"/>
      <c r="Y6" s="1"/>
      <c r="Z6" s="1"/>
      <c r="AA6" s="1"/>
      <c r="AB6" s="1"/>
      <c r="AC6" s="1"/>
      <c r="AD6" s="84" t="str">
        <f t="shared" si="9"/>
        <v/>
      </c>
      <c r="AE6" s="84" t="str">
        <f t="shared" si="10"/>
        <v/>
      </c>
      <c r="AF6" s="84" t="str">
        <f t="shared" si="11"/>
        <v/>
      </c>
      <c r="AG6" s="1"/>
      <c r="AH6" s="1"/>
      <c r="AI6" s="1"/>
      <c r="AJ6" s="84" t="str">
        <f t="shared" si="12"/>
        <v/>
      </c>
      <c r="AK6" s="84" t="str">
        <f t="shared" si="13"/>
        <v/>
      </c>
      <c r="AL6" s="84" t="str">
        <f t="shared" si="14"/>
        <v/>
      </c>
      <c r="AM6" s="1"/>
      <c r="AN6" s="1"/>
      <c r="AO6" s="1"/>
      <c r="AP6" s="84" t="str">
        <f t="shared" si="15"/>
        <v/>
      </c>
      <c r="AQ6" s="84" t="str">
        <f t="shared" si="16"/>
        <v/>
      </c>
      <c r="AR6" s="84">
        <f t="shared" si="17"/>
        <v>166.99994000000001</v>
      </c>
    </row>
    <row r="7" spans="1:44" ht="19" customHeight="1" x14ac:dyDescent="0.3">
      <c r="A7" s="75" t="s">
        <v>27</v>
      </c>
      <c r="B7" s="75"/>
      <c r="C7" s="75"/>
      <c r="D7" s="89">
        <f>IF(路线!B4="计算",持有情况!AW12,持有情况!AV10)-ROW()*0.00001</f>
        <v>161.99993000000001</v>
      </c>
      <c r="E7" s="90">
        <v>0</v>
      </c>
      <c r="F7" s="90">
        <v>0</v>
      </c>
      <c r="G7" s="89">
        <v>2</v>
      </c>
      <c r="H7" s="90">
        <v>0</v>
      </c>
      <c r="I7" s="1"/>
      <c r="J7" s="89">
        <f>IF(路线!B4="计算",INT(45+5*路线!B30+13*路线!B22+30+持有情况!AM15),INT(45+5*路线!B30+13*路线!B22+30))-ROW()*0.00001</f>
        <v>161.99993000000001</v>
      </c>
      <c r="K7" s="1"/>
      <c r="L7" s="84" t="str">
        <f t="shared" si="0"/>
        <v/>
      </c>
      <c r="M7" s="84" t="str">
        <f t="shared" si="1"/>
        <v/>
      </c>
      <c r="N7" s="84" t="str">
        <f t="shared" si="2"/>
        <v/>
      </c>
      <c r="O7" s="84">
        <f t="shared" si="3"/>
        <v>161.99993000000001</v>
      </c>
      <c r="P7" s="84">
        <f t="shared" si="4"/>
        <v>161.99993000000001</v>
      </c>
      <c r="Q7" s="84">
        <f t="shared" si="5"/>
        <v>161.99993000000001</v>
      </c>
      <c r="R7" s="84" t="str">
        <f t="shared" si="6"/>
        <v/>
      </c>
      <c r="S7" s="84" t="str">
        <f t="shared" si="7"/>
        <v/>
      </c>
      <c r="T7" s="84" t="str">
        <f t="shared" si="8"/>
        <v/>
      </c>
      <c r="U7" s="1"/>
      <c r="V7" s="1"/>
      <c r="W7" s="1"/>
      <c r="X7" s="1"/>
      <c r="Y7" s="1"/>
      <c r="Z7" s="1"/>
      <c r="AA7" s="1"/>
      <c r="AB7" s="1"/>
      <c r="AC7" s="1"/>
      <c r="AD7" s="84" t="str">
        <f t="shared" si="9"/>
        <v/>
      </c>
      <c r="AE7" s="84">
        <f t="shared" si="10"/>
        <v>161.99993000000001</v>
      </c>
      <c r="AF7" s="84" t="str">
        <f t="shared" si="11"/>
        <v/>
      </c>
      <c r="AG7" s="1"/>
      <c r="AH7" s="1"/>
      <c r="AI7" s="1"/>
      <c r="AJ7" s="84" t="str">
        <f t="shared" si="12"/>
        <v/>
      </c>
      <c r="AK7" s="84">
        <f t="shared" si="13"/>
        <v>161.99993000000001</v>
      </c>
      <c r="AL7" s="84" t="str">
        <f t="shared" si="14"/>
        <v/>
      </c>
      <c r="AM7" s="1"/>
      <c r="AN7" s="1"/>
      <c r="AO7" s="1"/>
      <c r="AP7" s="84" t="str">
        <f t="shared" si="15"/>
        <v/>
      </c>
      <c r="AQ7" s="84">
        <f t="shared" si="16"/>
        <v>161.99993000000001</v>
      </c>
      <c r="AR7" s="84" t="str">
        <f t="shared" si="17"/>
        <v/>
      </c>
    </row>
    <row r="8" spans="1:44" ht="19" customHeight="1" x14ac:dyDescent="0.3">
      <c r="A8" s="57" t="s">
        <v>33</v>
      </c>
      <c r="B8" s="57"/>
      <c r="C8" s="57"/>
      <c r="D8" s="89">
        <f>IF(路线!B4="计算",持有情况!AM18,持有情况!AL16)-ROW()*0.00001</f>
        <v>161.99992</v>
      </c>
      <c r="E8" s="90">
        <v>0</v>
      </c>
      <c r="F8" s="90">
        <v>0</v>
      </c>
      <c r="G8" s="89">
        <v>1</v>
      </c>
      <c r="H8" s="90">
        <v>0</v>
      </c>
      <c r="I8" s="1"/>
      <c r="J8" s="89">
        <f>IF(路线!B4="计算",INT(45+5*路线!B30+13*路线!B22+30+持有情况!AM15),INT(45+5*路线!B30+13*路线!B22+30))-ROW()*0.00001</f>
        <v>161.99992</v>
      </c>
      <c r="K8" s="1"/>
      <c r="L8" s="84">
        <f t="shared" si="0"/>
        <v>161.99992</v>
      </c>
      <c r="M8" s="84">
        <f t="shared" si="1"/>
        <v>161.99992</v>
      </c>
      <c r="N8" s="84">
        <f t="shared" si="2"/>
        <v>161.99992</v>
      </c>
      <c r="O8" s="84" t="str">
        <f t="shared" si="3"/>
        <v/>
      </c>
      <c r="P8" s="84" t="str">
        <f t="shared" si="4"/>
        <v/>
      </c>
      <c r="Q8" s="84" t="str">
        <f t="shared" si="5"/>
        <v/>
      </c>
      <c r="R8" s="84" t="str">
        <f t="shared" si="6"/>
        <v/>
      </c>
      <c r="S8" s="84" t="str">
        <f t="shared" si="7"/>
        <v/>
      </c>
      <c r="T8" s="84" t="str">
        <f t="shared" si="8"/>
        <v/>
      </c>
      <c r="U8" s="1"/>
      <c r="V8" s="1"/>
      <c r="W8" s="1"/>
      <c r="X8" s="1"/>
      <c r="Y8" s="1"/>
      <c r="Z8" s="1"/>
      <c r="AA8" s="1"/>
      <c r="AB8" s="1"/>
      <c r="AC8" s="1"/>
      <c r="AD8" s="84">
        <f t="shared" si="9"/>
        <v>161.99992</v>
      </c>
      <c r="AE8" s="84" t="str">
        <f t="shared" si="10"/>
        <v/>
      </c>
      <c r="AF8" s="84" t="str">
        <f t="shared" si="11"/>
        <v/>
      </c>
      <c r="AG8" s="1"/>
      <c r="AH8" s="1"/>
      <c r="AI8" s="1"/>
      <c r="AJ8" s="84">
        <f t="shared" si="12"/>
        <v>161.99992</v>
      </c>
      <c r="AK8" s="84" t="str">
        <f t="shared" si="13"/>
        <v/>
      </c>
      <c r="AL8" s="84" t="str">
        <f t="shared" si="14"/>
        <v/>
      </c>
      <c r="AM8" s="1"/>
      <c r="AN8" s="1"/>
      <c r="AO8" s="1"/>
      <c r="AP8" s="84">
        <f t="shared" si="15"/>
        <v>161.99992</v>
      </c>
      <c r="AQ8" s="84" t="str">
        <f t="shared" si="16"/>
        <v/>
      </c>
      <c r="AR8" s="84" t="str">
        <f t="shared" si="17"/>
        <v/>
      </c>
    </row>
    <row r="9" spans="1:44" ht="19" customHeight="1" x14ac:dyDescent="0.3">
      <c r="A9" s="67" t="s">
        <v>93</v>
      </c>
      <c r="B9" s="67"/>
      <c r="C9" s="67"/>
      <c r="D9" s="89">
        <f>IF(路线!B4="计算",持有情况!AC66,持有情况!AB64)-ROW()*0.00001</f>
        <v>204.99991</v>
      </c>
      <c r="E9" s="90">
        <v>0</v>
      </c>
      <c r="F9" s="89">
        <v>1</v>
      </c>
      <c r="G9" s="89">
        <v>3</v>
      </c>
      <c r="H9" s="90">
        <v>0</v>
      </c>
      <c r="I9" s="1"/>
      <c r="J9" s="89">
        <f>IF(路线!B4="计算",INT(60+6*路线!B20+3*路线!B23+40+持有情况!AC63),INT(60+6*路线!B20+3*路线!B23+40))-ROW()*0.00001</f>
        <v>204.99991</v>
      </c>
      <c r="K9" s="1"/>
      <c r="L9" s="84" t="str">
        <f t="shared" si="0"/>
        <v/>
      </c>
      <c r="M9" s="84" t="str">
        <f t="shared" si="1"/>
        <v/>
      </c>
      <c r="N9" s="84" t="str">
        <f t="shared" si="2"/>
        <v/>
      </c>
      <c r="O9" s="84" t="str">
        <f t="shared" si="3"/>
        <v/>
      </c>
      <c r="P9" s="84" t="str">
        <f t="shared" si="4"/>
        <v/>
      </c>
      <c r="Q9" s="84" t="str">
        <f t="shared" si="5"/>
        <v/>
      </c>
      <c r="R9" s="84">
        <f t="shared" si="6"/>
        <v>204.99991</v>
      </c>
      <c r="S9" s="84">
        <f t="shared" si="7"/>
        <v>204.99991</v>
      </c>
      <c r="T9" s="84">
        <f t="shared" si="8"/>
        <v>204.99991</v>
      </c>
      <c r="U9" s="1"/>
      <c r="V9" s="1"/>
      <c r="W9" s="1"/>
      <c r="X9" s="1"/>
      <c r="Y9" s="1"/>
      <c r="Z9" s="1"/>
      <c r="AA9" s="1"/>
      <c r="AB9" s="1"/>
      <c r="AC9" s="1"/>
      <c r="AD9" s="84" t="str">
        <f t="shared" si="9"/>
        <v/>
      </c>
      <c r="AE9" s="84" t="str">
        <f t="shared" si="10"/>
        <v/>
      </c>
      <c r="AF9" s="84">
        <f t="shared" si="11"/>
        <v>204.99991</v>
      </c>
      <c r="AG9" s="1"/>
      <c r="AH9" s="1"/>
      <c r="AI9" s="1"/>
      <c r="AJ9" s="84" t="str">
        <f t="shared" si="12"/>
        <v/>
      </c>
      <c r="AK9" s="84" t="str">
        <f t="shared" si="13"/>
        <v/>
      </c>
      <c r="AL9" s="84">
        <f t="shared" si="14"/>
        <v>204.99991</v>
      </c>
      <c r="AM9" s="1"/>
      <c r="AN9" s="1"/>
      <c r="AO9" s="1"/>
      <c r="AP9" s="84" t="str">
        <f t="shared" si="15"/>
        <v/>
      </c>
      <c r="AQ9" s="84" t="str">
        <f t="shared" si="16"/>
        <v/>
      </c>
      <c r="AR9" s="84">
        <f t="shared" si="17"/>
        <v>204.99991</v>
      </c>
    </row>
    <row r="10" spans="1:44" ht="19" customHeight="1" x14ac:dyDescent="0.3">
      <c r="A10" s="57" t="s">
        <v>120</v>
      </c>
      <c r="B10" s="57"/>
      <c r="C10" s="57"/>
      <c r="D10" s="89">
        <f>持有情况!H88-ROW()*0.00001</f>
        <v>99.999899999999997</v>
      </c>
      <c r="E10" s="89">
        <v>2</v>
      </c>
      <c r="F10" s="89">
        <v>1</v>
      </c>
      <c r="G10" s="89">
        <v>1</v>
      </c>
      <c r="H10" s="89">
        <v>1</v>
      </c>
      <c r="I10" s="84" t="s">
        <v>293</v>
      </c>
      <c r="J10" s="89">
        <f>INT(60+6*路线!B20+15*路线!B31+40)-ROW()*0.00001</f>
        <v>99.999899999999997</v>
      </c>
      <c r="K10" s="1"/>
      <c r="L10" s="84" t="str">
        <f t="shared" si="0"/>
        <v/>
      </c>
      <c r="M10" s="84">
        <f t="shared" si="1"/>
        <v>99.999899999999997</v>
      </c>
      <c r="N10" s="84" t="str">
        <f t="shared" si="2"/>
        <v/>
      </c>
      <c r="O10" s="84" t="str">
        <f t="shared" si="3"/>
        <v/>
      </c>
      <c r="P10" s="84" t="str">
        <f t="shared" si="4"/>
        <v/>
      </c>
      <c r="Q10" s="84" t="str">
        <f t="shared" si="5"/>
        <v/>
      </c>
      <c r="R10" s="84" t="str">
        <f t="shared" si="6"/>
        <v/>
      </c>
      <c r="S10" s="84" t="str">
        <f t="shared" si="7"/>
        <v/>
      </c>
      <c r="T10" s="84" t="str">
        <f t="shared" si="8"/>
        <v/>
      </c>
      <c r="U10" s="1"/>
      <c r="V10" s="1"/>
      <c r="W10" s="1"/>
      <c r="X10" s="1"/>
      <c r="Y10" s="1"/>
      <c r="Z10" s="1"/>
      <c r="AA10" s="1"/>
      <c r="AB10" s="1"/>
      <c r="AC10" s="1"/>
      <c r="AD10" s="84" t="str">
        <f t="shared" si="9"/>
        <v/>
      </c>
      <c r="AE10" s="84" t="str">
        <f t="shared" si="10"/>
        <v/>
      </c>
      <c r="AF10" s="84" t="str">
        <f t="shared" si="11"/>
        <v/>
      </c>
      <c r="AG10" s="1"/>
      <c r="AH10" s="1"/>
      <c r="AI10" s="1"/>
      <c r="AJ10" s="84">
        <f t="shared" si="12"/>
        <v>99.999899999999997</v>
      </c>
      <c r="AK10" s="84" t="str">
        <f t="shared" si="13"/>
        <v/>
      </c>
      <c r="AL10" s="84" t="str">
        <f t="shared" si="14"/>
        <v/>
      </c>
      <c r="AM10" s="1"/>
      <c r="AN10" s="1"/>
      <c r="AO10" s="1"/>
      <c r="AP10" s="84" t="str">
        <f t="shared" si="15"/>
        <v/>
      </c>
      <c r="AQ10" s="84" t="str">
        <f t="shared" si="16"/>
        <v/>
      </c>
      <c r="AR10" s="84" t="str">
        <f t="shared" si="17"/>
        <v/>
      </c>
    </row>
    <row r="11" spans="1:44" ht="19" customHeight="1" x14ac:dyDescent="0.3">
      <c r="A11" s="67" t="s">
        <v>100</v>
      </c>
      <c r="B11" s="67"/>
      <c r="C11" s="67"/>
      <c r="D11" s="89">
        <f>持有情况!AB70-ROW()*0.00001</f>
        <v>78.999889999999994</v>
      </c>
      <c r="E11" s="89">
        <v>2</v>
      </c>
      <c r="F11" s="90">
        <v>0</v>
      </c>
      <c r="G11" s="89">
        <v>3</v>
      </c>
      <c r="H11" s="90">
        <v>0</v>
      </c>
      <c r="I11" s="1"/>
      <c r="J11" s="89">
        <f>INT((8.5/100)*路线!B13+9*路线!B29+15*路线!B31+40)-ROW()*0.00001</f>
        <v>78.999889999999994</v>
      </c>
      <c r="K11" s="1"/>
      <c r="L11" s="84" t="str">
        <f t="shared" si="0"/>
        <v/>
      </c>
      <c r="M11" s="84" t="str">
        <f t="shared" si="1"/>
        <v/>
      </c>
      <c r="N11" s="84" t="str">
        <f t="shared" si="2"/>
        <v/>
      </c>
      <c r="O11" s="84" t="str">
        <f t="shared" si="3"/>
        <v/>
      </c>
      <c r="P11" s="84" t="str">
        <f t="shared" si="4"/>
        <v/>
      </c>
      <c r="Q11" s="84" t="str">
        <f t="shared" si="5"/>
        <v/>
      </c>
      <c r="R11" s="84" t="str">
        <f t="shared" si="6"/>
        <v/>
      </c>
      <c r="S11" s="84">
        <f t="shared" si="7"/>
        <v>78.999889999999994</v>
      </c>
      <c r="T11" s="84" t="str">
        <f t="shared" si="8"/>
        <v/>
      </c>
      <c r="U11" s="1"/>
      <c r="V11" s="1"/>
      <c r="W11" s="1"/>
      <c r="X11" s="1"/>
      <c r="Y11" s="1"/>
      <c r="Z11" s="1"/>
      <c r="AA11" s="1"/>
      <c r="AB11" s="1"/>
      <c r="AC11" s="1"/>
      <c r="AD11" s="84" t="str">
        <f t="shared" si="9"/>
        <v/>
      </c>
      <c r="AE11" s="84" t="str">
        <f t="shared" si="10"/>
        <v/>
      </c>
      <c r="AF11" s="84" t="str">
        <f t="shared" si="11"/>
        <v/>
      </c>
      <c r="AG11" s="1"/>
      <c r="AH11" s="1"/>
      <c r="AI11" s="1"/>
      <c r="AJ11" s="84" t="str">
        <f t="shared" si="12"/>
        <v/>
      </c>
      <c r="AK11" s="84" t="str">
        <f t="shared" si="13"/>
        <v/>
      </c>
      <c r="AL11" s="84">
        <f t="shared" si="14"/>
        <v>78.999889999999994</v>
      </c>
      <c r="AM11" s="1"/>
      <c r="AN11" s="1"/>
      <c r="AO11" s="1"/>
      <c r="AP11" s="84" t="str">
        <f t="shared" si="15"/>
        <v/>
      </c>
      <c r="AQ11" s="84" t="str">
        <f t="shared" si="16"/>
        <v/>
      </c>
      <c r="AR11" s="84" t="str">
        <f t="shared" si="17"/>
        <v/>
      </c>
    </row>
    <row r="12" spans="1:44" ht="19" customHeight="1" x14ac:dyDescent="0.3">
      <c r="A12" s="67" t="s">
        <v>140</v>
      </c>
      <c r="B12" s="67"/>
      <c r="C12" s="67"/>
      <c r="D12" s="89">
        <f>持有情况!AB106-ROW()*0.00001</f>
        <v>185.99987999999999</v>
      </c>
      <c r="E12" s="89">
        <v>3</v>
      </c>
      <c r="F12" s="89">
        <v>1</v>
      </c>
      <c r="G12" s="89">
        <v>3</v>
      </c>
      <c r="H12" s="89">
        <v>1</v>
      </c>
      <c r="I12" s="84" t="s">
        <v>285</v>
      </c>
      <c r="J12" s="89">
        <f>IF(路线!C6="计算",INT(60+17*路线!B21+22*IF(路线!B36&lt;=3,路线!B36,3)+40+20)-ROW()*0.00001,INT(60+17*路线!B21+22*IF(路线!B36&lt;=3,路线!B36,3)+40)-ROW()*0.00001)</f>
        <v>185.99987999999999</v>
      </c>
      <c r="K12" s="1"/>
      <c r="L12" s="84" t="str">
        <f t="shared" si="0"/>
        <v/>
      </c>
      <c r="M12" s="84" t="str">
        <f t="shared" si="1"/>
        <v/>
      </c>
      <c r="N12" s="84" t="str">
        <f t="shared" si="2"/>
        <v/>
      </c>
      <c r="O12" s="84" t="str">
        <f t="shared" si="3"/>
        <v/>
      </c>
      <c r="P12" s="84" t="str">
        <f t="shared" si="4"/>
        <v/>
      </c>
      <c r="Q12" s="84" t="str">
        <f t="shared" si="5"/>
        <v/>
      </c>
      <c r="R12" s="84" t="str">
        <f t="shared" si="6"/>
        <v/>
      </c>
      <c r="S12" s="84" t="str">
        <f t="shared" si="7"/>
        <v/>
      </c>
      <c r="T12" s="84">
        <f t="shared" si="8"/>
        <v>185.99987999999999</v>
      </c>
      <c r="U12" s="1"/>
      <c r="V12" s="1"/>
      <c r="W12" s="1"/>
      <c r="X12" s="1"/>
      <c r="Y12" s="1"/>
      <c r="Z12" s="1"/>
      <c r="AA12" s="1"/>
      <c r="AB12" s="1"/>
      <c r="AC12" s="1"/>
      <c r="AD12" s="84" t="str">
        <f t="shared" si="9"/>
        <v/>
      </c>
      <c r="AE12" s="84" t="str">
        <f t="shared" si="10"/>
        <v/>
      </c>
      <c r="AF12" s="84" t="str">
        <f t="shared" si="11"/>
        <v/>
      </c>
      <c r="AG12" s="1"/>
      <c r="AH12" s="1"/>
      <c r="AI12" s="1"/>
      <c r="AJ12" s="84" t="str">
        <f t="shared" si="12"/>
        <v/>
      </c>
      <c r="AK12" s="84" t="str">
        <f t="shared" si="13"/>
        <v/>
      </c>
      <c r="AL12" s="84" t="str">
        <f t="shared" si="14"/>
        <v/>
      </c>
      <c r="AM12" s="1"/>
      <c r="AN12" s="1"/>
      <c r="AO12" s="1"/>
      <c r="AP12" s="84" t="str">
        <f t="shared" si="15"/>
        <v/>
      </c>
      <c r="AQ12" s="84" t="str">
        <f t="shared" si="16"/>
        <v/>
      </c>
      <c r="AR12" s="84">
        <f t="shared" si="17"/>
        <v>185.99987999999999</v>
      </c>
    </row>
    <row r="13" spans="1:44" ht="19" customHeight="1" x14ac:dyDescent="0.3">
      <c r="A13" s="57" t="s">
        <v>109</v>
      </c>
      <c r="B13" s="57"/>
      <c r="C13" s="57"/>
      <c r="D13" s="89">
        <f>持有情况!AL76-ROW()*0.00001</f>
        <v>171.99986999999999</v>
      </c>
      <c r="E13" s="89">
        <v>2</v>
      </c>
      <c r="F13" s="90">
        <v>0</v>
      </c>
      <c r="G13" s="89">
        <v>1</v>
      </c>
      <c r="H13" s="90">
        <v>0</v>
      </c>
      <c r="I13" s="1"/>
      <c r="J13" s="89">
        <f>INT(45+10*路线!B31+8*路线!B35+17+30)-ROW()*0.00001</f>
        <v>171.99986999999999</v>
      </c>
      <c r="K13" s="1"/>
      <c r="L13" s="84" t="str">
        <f t="shared" si="0"/>
        <v/>
      </c>
      <c r="M13" s="84">
        <f t="shared" si="1"/>
        <v>171.99986999999999</v>
      </c>
      <c r="N13" s="84" t="str">
        <f t="shared" si="2"/>
        <v/>
      </c>
      <c r="O13" s="84" t="str">
        <f t="shared" si="3"/>
        <v/>
      </c>
      <c r="P13" s="84" t="str">
        <f t="shared" si="4"/>
        <v/>
      </c>
      <c r="Q13" s="84" t="str">
        <f t="shared" si="5"/>
        <v/>
      </c>
      <c r="R13" s="84" t="str">
        <f t="shared" si="6"/>
        <v/>
      </c>
      <c r="S13" s="84" t="str">
        <f t="shared" si="7"/>
        <v/>
      </c>
      <c r="T13" s="84" t="str">
        <f t="shared" si="8"/>
        <v/>
      </c>
      <c r="U13" s="1"/>
      <c r="V13" s="1"/>
      <c r="W13" s="1"/>
      <c r="X13" s="1"/>
      <c r="Y13" s="1"/>
      <c r="Z13" s="1"/>
      <c r="AA13" s="1"/>
      <c r="AB13" s="1"/>
      <c r="AC13" s="1"/>
      <c r="AD13" s="84" t="str">
        <f t="shared" si="9"/>
        <v/>
      </c>
      <c r="AE13" s="84" t="str">
        <f t="shared" si="10"/>
        <v/>
      </c>
      <c r="AF13" s="84" t="str">
        <f t="shared" si="11"/>
        <v/>
      </c>
      <c r="AG13" s="1"/>
      <c r="AH13" s="1"/>
      <c r="AI13" s="1"/>
      <c r="AJ13" s="84">
        <f t="shared" si="12"/>
        <v>171.99986999999999</v>
      </c>
      <c r="AK13" s="84" t="str">
        <f t="shared" si="13"/>
        <v/>
      </c>
      <c r="AL13" s="84" t="str">
        <f t="shared" si="14"/>
        <v/>
      </c>
      <c r="AM13" s="1"/>
      <c r="AN13" s="1"/>
      <c r="AO13" s="1"/>
      <c r="AP13" s="84" t="str">
        <f t="shared" si="15"/>
        <v/>
      </c>
      <c r="AQ13" s="84" t="str">
        <f t="shared" si="16"/>
        <v/>
      </c>
      <c r="AR13" s="84" t="str">
        <f t="shared" si="17"/>
        <v/>
      </c>
    </row>
    <row r="14" spans="1:44" ht="19" customHeight="1" x14ac:dyDescent="0.3">
      <c r="A14" s="67" t="s">
        <v>111</v>
      </c>
      <c r="B14" s="67"/>
      <c r="C14" s="67"/>
      <c r="D14" s="89">
        <f>持有情况!BF76-ROW()*0.00001</f>
        <v>186.99986000000001</v>
      </c>
      <c r="E14" s="89">
        <v>3</v>
      </c>
      <c r="F14" s="90">
        <v>0</v>
      </c>
      <c r="G14" s="89">
        <v>3</v>
      </c>
      <c r="H14" s="89">
        <v>1</v>
      </c>
      <c r="I14" s="84" t="s">
        <v>314</v>
      </c>
      <c r="J14" s="89">
        <f>IF(路线!C6="计算",INT(45+3*(路线!B28+路线!B29)+8*路线!B35+10*路线!B31+30+20)-ROW()*0.00001,INT(45+3*(路线!B28+路线!B29)+8*路线!B35+10*路线!B31+30)-ROW()*0.00001)</f>
        <v>186.99986000000001</v>
      </c>
      <c r="K14" s="1"/>
      <c r="L14" s="84" t="str">
        <f t="shared" si="0"/>
        <v/>
      </c>
      <c r="M14" s="84" t="str">
        <f t="shared" si="1"/>
        <v/>
      </c>
      <c r="N14" s="84" t="str">
        <f t="shared" si="2"/>
        <v/>
      </c>
      <c r="O14" s="84" t="str">
        <f t="shared" si="3"/>
        <v/>
      </c>
      <c r="P14" s="84" t="str">
        <f t="shared" si="4"/>
        <v/>
      </c>
      <c r="Q14" s="84" t="str">
        <f t="shared" si="5"/>
        <v/>
      </c>
      <c r="R14" s="84" t="str">
        <f t="shared" si="6"/>
        <v/>
      </c>
      <c r="S14" s="84" t="str">
        <f t="shared" si="7"/>
        <v/>
      </c>
      <c r="T14" s="84">
        <f t="shared" si="8"/>
        <v>186.99986000000001</v>
      </c>
      <c r="U14" s="1"/>
      <c r="V14" s="1"/>
      <c r="W14" s="1"/>
      <c r="X14" s="1"/>
      <c r="Y14" s="1"/>
      <c r="Z14" s="1"/>
      <c r="AA14" s="1"/>
      <c r="AB14" s="1"/>
      <c r="AC14" s="1"/>
      <c r="AD14" s="84" t="str">
        <f t="shared" si="9"/>
        <v/>
      </c>
      <c r="AE14" s="84" t="str">
        <f t="shared" si="10"/>
        <v/>
      </c>
      <c r="AF14" s="84" t="str">
        <f t="shared" si="11"/>
        <v/>
      </c>
      <c r="AG14" s="1"/>
      <c r="AH14" s="1"/>
      <c r="AI14" s="1"/>
      <c r="AJ14" s="84" t="str">
        <f t="shared" si="12"/>
        <v/>
      </c>
      <c r="AK14" s="84" t="str">
        <f t="shared" si="13"/>
        <v/>
      </c>
      <c r="AL14" s="84" t="str">
        <f t="shared" si="14"/>
        <v/>
      </c>
      <c r="AM14" s="1"/>
      <c r="AN14" s="1"/>
      <c r="AO14" s="1"/>
      <c r="AP14" s="84" t="str">
        <f t="shared" si="15"/>
        <v/>
      </c>
      <c r="AQ14" s="84" t="str">
        <f t="shared" si="16"/>
        <v/>
      </c>
      <c r="AR14" s="84">
        <f t="shared" si="17"/>
        <v>186.99986000000001</v>
      </c>
    </row>
    <row r="15" spans="1:44" ht="19" customHeight="1" x14ac:dyDescent="0.3">
      <c r="A15" s="75" t="s">
        <v>128</v>
      </c>
      <c r="B15" s="75"/>
      <c r="C15" s="75"/>
      <c r="D15" s="89">
        <f>持有情况!AV94-ROW()*0.00001</f>
        <v>192.99985000000001</v>
      </c>
      <c r="E15" s="89">
        <v>2</v>
      </c>
      <c r="F15" s="90">
        <v>0</v>
      </c>
      <c r="G15" s="89">
        <v>2</v>
      </c>
      <c r="H15" s="89">
        <v>1</v>
      </c>
      <c r="I15" s="84" t="s">
        <v>316</v>
      </c>
      <c r="J15" s="89">
        <f>IF(路线!C6="计算",INT(45+6*路线!B29+3*路线!B27+5*路线!B30+30+20)-ROW()*0.00001,INT(45+6*路线!B29+3*路线!B27+5*路线!B30+30)-ROW()*0.00001)</f>
        <v>192.99985000000001</v>
      </c>
      <c r="K15" s="1"/>
      <c r="L15" s="84" t="str">
        <f t="shared" si="0"/>
        <v/>
      </c>
      <c r="M15" s="84" t="str">
        <f t="shared" si="1"/>
        <v/>
      </c>
      <c r="N15" s="84" t="str">
        <f t="shared" si="2"/>
        <v/>
      </c>
      <c r="O15" s="84" t="str">
        <f t="shared" si="3"/>
        <v/>
      </c>
      <c r="P15" s="84">
        <f t="shared" si="4"/>
        <v>192.99985000000001</v>
      </c>
      <c r="Q15" s="84" t="str">
        <f t="shared" si="5"/>
        <v/>
      </c>
      <c r="R15" s="84" t="str">
        <f t="shared" si="6"/>
        <v/>
      </c>
      <c r="S15" s="84" t="str">
        <f t="shared" si="7"/>
        <v/>
      </c>
      <c r="T15" s="84" t="str">
        <f t="shared" si="8"/>
        <v/>
      </c>
      <c r="U15" s="1"/>
      <c r="V15" s="1"/>
      <c r="W15" s="1"/>
      <c r="X15" s="1"/>
      <c r="Y15" s="1"/>
      <c r="Z15" s="1"/>
      <c r="AA15" s="1"/>
      <c r="AB15" s="1"/>
      <c r="AC15" s="1"/>
      <c r="AD15" s="84" t="str">
        <f t="shared" si="9"/>
        <v/>
      </c>
      <c r="AE15" s="84" t="str">
        <f t="shared" si="10"/>
        <v/>
      </c>
      <c r="AF15" s="84" t="str">
        <f t="shared" si="11"/>
        <v/>
      </c>
      <c r="AG15" s="1"/>
      <c r="AH15" s="1"/>
      <c r="AI15" s="1"/>
      <c r="AJ15" s="84" t="str">
        <f t="shared" si="12"/>
        <v/>
      </c>
      <c r="AK15" s="84">
        <f t="shared" si="13"/>
        <v>192.99985000000001</v>
      </c>
      <c r="AL15" s="84" t="str">
        <f t="shared" si="14"/>
        <v/>
      </c>
      <c r="AM15" s="1"/>
      <c r="AN15" s="1"/>
      <c r="AO15" s="1"/>
      <c r="AP15" s="84" t="str">
        <f t="shared" si="15"/>
        <v/>
      </c>
      <c r="AQ15" s="84" t="str">
        <f t="shared" si="16"/>
        <v/>
      </c>
      <c r="AR15" s="84" t="str">
        <f t="shared" si="17"/>
        <v/>
      </c>
    </row>
    <row r="16" spans="1:44" ht="19" customHeight="1" x14ac:dyDescent="0.3">
      <c r="A16" s="57" t="s">
        <v>23</v>
      </c>
      <c r="B16" s="57"/>
      <c r="C16" s="57"/>
      <c r="D16" s="89">
        <f>持有情况!H10-ROW()*0.00001</f>
        <v>96.999840000000006</v>
      </c>
      <c r="E16" s="90">
        <v>0</v>
      </c>
      <c r="F16" s="90">
        <v>0</v>
      </c>
      <c r="G16" s="89">
        <v>1</v>
      </c>
      <c r="H16" s="89">
        <v>1</v>
      </c>
      <c r="I16" s="84" t="s">
        <v>290</v>
      </c>
      <c r="J16" s="89">
        <f>INT((8.5/100)*路线!B13+15*路线!B31+3*路线!B24+40)-ROW()*0.00001</f>
        <v>96.999840000000006</v>
      </c>
      <c r="K16" s="1"/>
      <c r="L16" s="84">
        <f t="shared" si="0"/>
        <v>96.999840000000006</v>
      </c>
      <c r="M16" s="84">
        <f t="shared" si="1"/>
        <v>96.999840000000006</v>
      </c>
      <c r="N16" s="84">
        <f t="shared" si="2"/>
        <v>96.999840000000006</v>
      </c>
      <c r="O16" s="84" t="str">
        <f t="shared" si="3"/>
        <v/>
      </c>
      <c r="P16" s="84" t="str">
        <f t="shared" si="4"/>
        <v/>
      </c>
      <c r="Q16" s="84" t="str">
        <f t="shared" si="5"/>
        <v/>
      </c>
      <c r="R16" s="84" t="str">
        <f t="shared" si="6"/>
        <v/>
      </c>
      <c r="S16" s="84" t="str">
        <f t="shared" si="7"/>
        <v/>
      </c>
      <c r="T16" s="84" t="str">
        <f t="shared" si="8"/>
        <v/>
      </c>
      <c r="U16" s="1"/>
      <c r="V16" s="1"/>
      <c r="W16" s="1"/>
      <c r="X16" s="1"/>
      <c r="Y16" s="1"/>
      <c r="Z16" s="1"/>
      <c r="AA16" s="1"/>
      <c r="AB16" s="1"/>
      <c r="AC16" s="1"/>
      <c r="AD16" s="84">
        <f t="shared" si="9"/>
        <v>96.999840000000006</v>
      </c>
      <c r="AE16" s="84" t="str">
        <f t="shared" si="10"/>
        <v/>
      </c>
      <c r="AF16" s="84" t="str">
        <f t="shared" si="11"/>
        <v/>
      </c>
      <c r="AG16" s="1"/>
      <c r="AH16" s="1"/>
      <c r="AI16" s="1"/>
      <c r="AJ16" s="84">
        <f t="shared" si="12"/>
        <v>96.999840000000006</v>
      </c>
      <c r="AK16" s="84" t="str">
        <f t="shared" si="13"/>
        <v/>
      </c>
      <c r="AL16" s="84" t="str">
        <f t="shared" si="14"/>
        <v/>
      </c>
      <c r="AM16" s="1"/>
      <c r="AN16" s="1"/>
      <c r="AO16" s="1"/>
      <c r="AP16" s="84">
        <f t="shared" si="15"/>
        <v>96.999840000000006</v>
      </c>
      <c r="AQ16" s="84" t="str">
        <f t="shared" si="16"/>
        <v/>
      </c>
      <c r="AR16" s="84" t="str">
        <f t="shared" si="17"/>
        <v/>
      </c>
    </row>
    <row r="17" spans="1:44" ht="19" customHeight="1" x14ac:dyDescent="0.3">
      <c r="A17" s="67" t="s">
        <v>35</v>
      </c>
      <c r="B17" s="67"/>
      <c r="C17" s="67"/>
      <c r="D17" s="89">
        <f>IF(路线!B4="计算",持有情况!BG18,持有情况!BF16)-ROW()*0.00001</f>
        <v>132.99983</v>
      </c>
      <c r="E17" s="90">
        <v>0</v>
      </c>
      <c r="F17" s="90">
        <v>0</v>
      </c>
      <c r="G17" s="89">
        <v>3</v>
      </c>
      <c r="H17" s="90">
        <v>0</v>
      </c>
      <c r="I17" s="1"/>
      <c r="J17" s="89">
        <f>IF(路线!B4="计算",INT((6.4/100)*路线!B13+5*路线!B30+13*路线!B22+30+持有情况!AM15),INT((6.4/100)*路线!B13+5*路线!B30+13*路线!B22+30))-ROW()*0.00001</f>
        <v>132.99983</v>
      </c>
      <c r="K17" s="1"/>
      <c r="L17" s="84" t="str">
        <f t="shared" si="0"/>
        <v/>
      </c>
      <c r="M17" s="84" t="str">
        <f t="shared" si="1"/>
        <v/>
      </c>
      <c r="N17" s="84" t="str">
        <f t="shared" si="2"/>
        <v/>
      </c>
      <c r="O17" s="84" t="str">
        <f t="shared" si="3"/>
        <v/>
      </c>
      <c r="P17" s="84" t="str">
        <f t="shared" si="4"/>
        <v/>
      </c>
      <c r="Q17" s="84" t="str">
        <f t="shared" si="5"/>
        <v/>
      </c>
      <c r="R17" s="84">
        <f t="shared" si="6"/>
        <v>132.99983</v>
      </c>
      <c r="S17" s="84">
        <f t="shared" si="7"/>
        <v>132.99983</v>
      </c>
      <c r="T17" s="84">
        <f t="shared" si="8"/>
        <v>132.99983</v>
      </c>
      <c r="U17" s="1"/>
      <c r="V17" s="1"/>
      <c r="W17" s="1"/>
      <c r="X17" s="1"/>
      <c r="Y17" s="1"/>
      <c r="Z17" s="1"/>
      <c r="AA17" s="1"/>
      <c r="AB17" s="1"/>
      <c r="AC17" s="1"/>
      <c r="AD17" s="84" t="str">
        <f t="shared" si="9"/>
        <v/>
      </c>
      <c r="AE17" s="84" t="str">
        <f t="shared" si="10"/>
        <v/>
      </c>
      <c r="AF17" s="84">
        <f t="shared" si="11"/>
        <v>132.99983</v>
      </c>
      <c r="AG17" s="1"/>
      <c r="AH17" s="1"/>
      <c r="AI17" s="1"/>
      <c r="AJ17" s="84" t="str">
        <f t="shared" si="12"/>
        <v/>
      </c>
      <c r="AK17" s="84" t="str">
        <f t="shared" si="13"/>
        <v/>
      </c>
      <c r="AL17" s="84">
        <f t="shared" si="14"/>
        <v>132.99983</v>
      </c>
      <c r="AM17" s="1"/>
      <c r="AN17" s="1"/>
      <c r="AO17" s="1"/>
      <c r="AP17" s="84" t="str">
        <f t="shared" si="15"/>
        <v/>
      </c>
      <c r="AQ17" s="84" t="str">
        <f t="shared" si="16"/>
        <v/>
      </c>
      <c r="AR17" s="84">
        <f t="shared" si="17"/>
        <v>132.99983</v>
      </c>
    </row>
    <row r="18" spans="1:44" ht="19" customHeight="1" x14ac:dyDescent="0.3">
      <c r="A18" s="75" t="s">
        <v>136</v>
      </c>
      <c r="B18" s="75"/>
      <c r="C18" s="75"/>
      <c r="D18" s="89">
        <f>持有情况!AV100-ROW()*0.00001</f>
        <v>86.99982</v>
      </c>
      <c r="E18" s="89">
        <v>1</v>
      </c>
      <c r="F18" s="90">
        <v>0</v>
      </c>
      <c r="G18" s="89">
        <v>2</v>
      </c>
      <c r="H18" s="90">
        <v>0</v>
      </c>
      <c r="I18" s="1"/>
      <c r="J18" s="89">
        <f>INT(45+10*路线!B31+6*路线!B29+13*路线!B21+30)-ROW()*0.00001</f>
        <v>86.99982</v>
      </c>
      <c r="K18" s="1"/>
      <c r="L18" s="84" t="str">
        <f t="shared" si="0"/>
        <v/>
      </c>
      <c r="M18" s="84" t="str">
        <f t="shared" si="1"/>
        <v/>
      </c>
      <c r="N18" s="84" t="str">
        <f t="shared" si="2"/>
        <v/>
      </c>
      <c r="O18" s="84">
        <f t="shared" si="3"/>
        <v>86.99982</v>
      </c>
      <c r="P18" s="84" t="str">
        <f t="shared" si="4"/>
        <v/>
      </c>
      <c r="Q18" s="84" t="str">
        <f t="shared" si="5"/>
        <v/>
      </c>
      <c r="R18" s="84" t="str">
        <f t="shared" si="6"/>
        <v/>
      </c>
      <c r="S18" s="84" t="str">
        <f t="shared" si="7"/>
        <v/>
      </c>
      <c r="T18" s="84" t="str">
        <f t="shared" si="8"/>
        <v/>
      </c>
      <c r="U18" s="1"/>
      <c r="V18" s="1"/>
      <c r="W18" s="1"/>
      <c r="X18" s="1"/>
      <c r="Y18" s="1"/>
      <c r="Z18" s="1"/>
      <c r="AA18" s="1"/>
      <c r="AB18" s="1"/>
      <c r="AC18" s="1"/>
      <c r="AD18" s="84" t="str">
        <f t="shared" si="9"/>
        <v/>
      </c>
      <c r="AE18" s="84">
        <f t="shared" si="10"/>
        <v>86.99982</v>
      </c>
      <c r="AF18" s="84" t="str">
        <f t="shared" si="11"/>
        <v/>
      </c>
      <c r="AG18" s="1"/>
      <c r="AH18" s="1"/>
      <c r="AI18" s="1"/>
      <c r="AJ18" s="84" t="str">
        <f t="shared" si="12"/>
        <v/>
      </c>
      <c r="AK18" s="84" t="str">
        <f t="shared" si="13"/>
        <v/>
      </c>
      <c r="AL18" s="84" t="str">
        <f t="shared" si="14"/>
        <v/>
      </c>
      <c r="AM18" s="1"/>
      <c r="AN18" s="1"/>
      <c r="AO18" s="1"/>
      <c r="AP18" s="84" t="str">
        <f t="shared" si="15"/>
        <v/>
      </c>
      <c r="AQ18" s="84" t="str">
        <f t="shared" si="16"/>
        <v/>
      </c>
      <c r="AR18" s="84" t="str">
        <f t="shared" si="17"/>
        <v/>
      </c>
    </row>
    <row r="19" spans="1:44" ht="19" customHeight="1" x14ac:dyDescent="0.3">
      <c r="A19" s="57" t="s">
        <v>0</v>
      </c>
      <c r="B19" s="57"/>
      <c r="C19" s="57"/>
      <c r="D19" s="94">
        <f>持有情况!H4-ROW()*0.00001</f>
        <v>148.99981</v>
      </c>
      <c r="E19" s="90">
        <v>0</v>
      </c>
      <c r="F19" s="90">
        <v>0</v>
      </c>
      <c r="G19" s="89">
        <v>1</v>
      </c>
      <c r="H19" s="89">
        <v>1</v>
      </c>
      <c r="I19" s="84" t="s">
        <v>310</v>
      </c>
      <c r="J19" s="89">
        <f>INT(60+6*路线!B20+7*路线!B30+40)-ROW()*0.00001</f>
        <v>148.99981</v>
      </c>
      <c r="K19" s="1"/>
      <c r="L19" s="84">
        <f t="shared" si="0"/>
        <v>148.99981</v>
      </c>
      <c r="M19" s="84">
        <f t="shared" si="1"/>
        <v>148.99981</v>
      </c>
      <c r="N19" s="84">
        <f t="shared" si="2"/>
        <v>148.99981</v>
      </c>
      <c r="O19" s="84" t="str">
        <f t="shared" si="3"/>
        <v/>
      </c>
      <c r="P19" s="84" t="str">
        <f t="shared" si="4"/>
        <v/>
      </c>
      <c r="Q19" s="84" t="str">
        <f t="shared" si="5"/>
        <v/>
      </c>
      <c r="R19" s="84" t="str">
        <f t="shared" si="6"/>
        <v/>
      </c>
      <c r="S19" s="84" t="str">
        <f t="shared" si="7"/>
        <v/>
      </c>
      <c r="T19" s="84" t="str">
        <f t="shared" si="8"/>
        <v/>
      </c>
      <c r="U19" s="1"/>
      <c r="V19" s="1"/>
      <c r="W19" s="1"/>
      <c r="X19" s="1"/>
      <c r="Y19" s="1"/>
      <c r="Z19" s="1"/>
      <c r="AA19" s="1"/>
      <c r="AB19" s="1"/>
      <c r="AC19" s="1"/>
      <c r="AD19" s="84">
        <f t="shared" si="9"/>
        <v>148.99981</v>
      </c>
      <c r="AE19" s="84" t="str">
        <f t="shared" si="10"/>
        <v/>
      </c>
      <c r="AF19" s="84" t="str">
        <f t="shared" si="11"/>
        <v/>
      </c>
      <c r="AG19" s="1"/>
      <c r="AH19" s="1"/>
      <c r="AI19" s="1"/>
      <c r="AJ19" s="84">
        <f t="shared" si="12"/>
        <v>148.99981</v>
      </c>
      <c r="AK19" s="84" t="str">
        <f t="shared" si="13"/>
        <v/>
      </c>
      <c r="AL19" s="84" t="str">
        <f t="shared" si="14"/>
        <v/>
      </c>
      <c r="AM19" s="1"/>
      <c r="AN19" s="1"/>
      <c r="AO19" s="1"/>
      <c r="AP19" s="84">
        <f t="shared" si="15"/>
        <v>148.99981</v>
      </c>
      <c r="AQ19" s="84" t="str">
        <f t="shared" si="16"/>
        <v/>
      </c>
      <c r="AR19" s="84" t="str">
        <f t="shared" si="17"/>
        <v/>
      </c>
    </row>
    <row r="20" spans="1:44" ht="19" customHeight="1" x14ac:dyDescent="0.3">
      <c r="A20" s="75" t="s">
        <v>71</v>
      </c>
      <c r="B20" s="75"/>
      <c r="C20" s="75"/>
      <c r="D20" s="89">
        <f>持有情况!R46-ROW()*0.00001</f>
        <v>127.99979999999999</v>
      </c>
      <c r="E20" s="89">
        <v>2</v>
      </c>
      <c r="F20" s="90">
        <v>0</v>
      </c>
      <c r="G20" s="89">
        <v>2</v>
      </c>
      <c r="H20" s="89">
        <v>1</v>
      </c>
      <c r="I20" s="84" t="s">
        <v>280</v>
      </c>
      <c r="J20" s="89">
        <f>INT((8.5/100)*路线!B13+9*路线!B29+17*路线!B21+7*路线!B30+40)-ROW()*0.00001</f>
        <v>127.99979999999999</v>
      </c>
      <c r="K20" s="1"/>
      <c r="L20" s="84" t="str">
        <f t="shared" si="0"/>
        <v/>
      </c>
      <c r="M20" s="84" t="str">
        <f t="shared" si="1"/>
        <v/>
      </c>
      <c r="N20" s="84" t="str">
        <f t="shared" si="2"/>
        <v/>
      </c>
      <c r="O20" s="84" t="str">
        <f t="shared" si="3"/>
        <v/>
      </c>
      <c r="P20" s="84">
        <f t="shared" si="4"/>
        <v>127.99979999999999</v>
      </c>
      <c r="Q20" s="84" t="str">
        <f t="shared" si="5"/>
        <v/>
      </c>
      <c r="R20" s="84" t="str">
        <f t="shared" si="6"/>
        <v/>
      </c>
      <c r="S20" s="84" t="str">
        <f t="shared" si="7"/>
        <v/>
      </c>
      <c r="T20" s="84" t="str">
        <f t="shared" si="8"/>
        <v/>
      </c>
      <c r="U20" s="1"/>
      <c r="V20" s="1"/>
      <c r="W20" s="1"/>
      <c r="X20" s="1"/>
      <c r="Y20" s="1"/>
      <c r="Z20" s="1"/>
      <c r="AA20" s="1"/>
      <c r="AB20" s="1"/>
      <c r="AC20" s="1"/>
      <c r="AD20" s="84" t="str">
        <f t="shared" si="9"/>
        <v/>
      </c>
      <c r="AE20" s="84" t="str">
        <f t="shared" si="10"/>
        <v/>
      </c>
      <c r="AF20" s="84" t="str">
        <f t="shared" si="11"/>
        <v/>
      </c>
      <c r="AG20" s="1"/>
      <c r="AH20" s="1"/>
      <c r="AI20" s="1"/>
      <c r="AJ20" s="84" t="str">
        <f t="shared" si="12"/>
        <v/>
      </c>
      <c r="AK20" s="84">
        <f t="shared" si="13"/>
        <v>127.99979999999999</v>
      </c>
      <c r="AL20" s="84" t="str">
        <f t="shared" si="14"/>
        <v/>
      </c>
      <c r="AM20" s="1"/>
      <c r="AN20" s="1"/>
      <c r="AO20" s="1"/>
      <c r="AP20" s="84" t="str">
        <f t="shared" si="15"/>
        <v/>
      </c>
      <c r="AQ20" s="84" t="str">
        <f t="shared" si="16"/>
        <v/>
      </c>
      <c r="AR20" s="84" t="str">
        <f t="shared" si="17"/>
        <v/>
      </c>
    </row>
    <row r="21" spans="1:44" ht="19" customHeight="1" x14ac:dyDescent="0.3">
      <c r="A21" s="75" t="s">
        <v>139</v>
      </c>
      <c r="B21" s="75"/>
      <c r="C21" s="75"/>
      <c r="D21" s="96">
        <f>持有情况!R106-ROW()*0.00001</f>
        <v>219.99978999999999</v>
      </c>
      <c r="E21" s="89">
        <v>1</v>
      </c>
      <c r="F21" s="90">
        <v>0</v>
      </c>
      <c r="G21" s="89">
        <v>2</v>
      </c>
      <c r="H21" s="89">
        <v>1</v>
      </c>
      <c r="I21" s="84" t="s">
        <v>281</v>
      </c>
      <c r="J21" s="89">
        <f>INT((8.5/100)*路线!B13+11*路线!B35+17*路线!B21+7*路线!B30+40)-ROW()*0.00001</f>
        <v>219.99978999999999</v>
      </c>
      <c r="K21" s="1"/>
      <c r="L21" s="84" t="str">
        <f t="shared" si="0"/>
        <v/>
      </c>
      <c r="M21" s="84" t="str">
        <f t="shared" si="1"/>
        <v/>
      </c>
      <c r="N21" s="84" t="str">
        <f t="shared" si="2"/>
        <v/>
      </c>
      <c r="O21" s="84">
        <f t="shared" si="3"/>
        <v>219.99978999999999</v>
      </c>
      <c r="P21" s="84" t="str">
        <f t="shared" si="4"/>
        <v/>
      </c>
      <c r="Q21" s="84" t="str">
        <f t="shared" si="5"/>
        <v/>
      </c>
      <c r="R21" s="84" t="str">
        <f t="shared" si="6"/>
        <v/>
      </c>
      <c r="S21" s="84" t="str">
        <f t="shared" si="7"/>
        <v/>
      </c>
      <c r="T21" s="84" t="str">
        <f t="shared" si="8"/>
        <v/>
      </c>
      <c r="U21" s="1"/>
      <c r="V21" s="1"/>
      <c r="W21" s="1"/>
      <c r="X21" s="1"/>
      <c r="Y21" s="1"/>
      <c r="Z21" s="1"/>
      <c r="AA21" s="1"/>
      <c r="AB21" s="1"/>
      <c r="AC21" s="1"/>
      <c r="AD21" s="84" t="str">
        <f t="shared" si="9"/>
        <v/>
      </c>
      <c r="AE21" s="84">
        <f t="shared" si="10"/>
        <v>219.99978999999999</v>
      </c>
      <c r="AF21" s="84" t="str">
        <f t="shared" si="11"/>
        <v/>
      </c>
      <c r="AG21" s="1"/>
      <c r="AH21" s="1"/>
      <c r="AI21" s="1"/>
      <c r="AJ21" s="84" t="str">
        <f t="shared" si="12"/>
        <v/>
      </c>
      <c r="AK21" s="84" t="str">
        <f t="shared" si="13"/>
        <v/>
      </c>
      <c r="AL21" s="84" t="str">
        <f t="shared" si="14"/>
        <v/>
      </c>
      <c r="AM21" s="1"/>
      <c r="AN21" s="1"/>
      <c r="AO21" s="1"/>
      <c r="AP21" s="84" t="str">
        <f t="shared" si="15"/>
        <v/>
      </c>
      <c r="AQ21" s="84" t="str">
        <f t="shared" si="16"/>
        <v/>
      </c>
      <c r="AR21" s="84" t="str">
        <f t="shared" si="17"/>
        <v/>
      </c>
    </row>
    <row r="22" spans="1:44" ht="19" customHeight="1" x14ac:dyDescent="0.3">
      <c r="A22" s="57" t="s">
        <v>3</v>
      </c>
      <c r="B22" s="57"/>
      <c r="C22" s="57"/>
      <c r="D22" s="96">
        <f>持有情况!AL4-ROW()*0.00001</f>
        <v>86.999780000000001</v>
      </c>
      <c r="E22" s="90">
        <v>0</v>
      </c>
      <c r="F22" s="90">
        <v>0</v>
      </c>
      <c r="G22" s="89">
        <v>1</v>
      </c>
      <c r="H22" s="90">
        <v>0</v>
      </c>
      <c r="I22" s="1"/>
      <c r="J22" s="89">
        <f>INT(45+10*路线!B31+3*(路线!B28+路线!B29)+30)-ROW()*0.00001</f>
        <v>86.999780000000001</v>
      </c>
      <c r="K22" s="1"/>
      <c r="L22" s="84">
        <f t="shared" si="0"/>
        <v>86.999780000000001</v>
      </c>
      <c r="M22" s="84">
        <f t="shared" si="1"/>
        <v>86.999780000000001</v>
      </c>
      <c r="N22" s="84">
        <f t="shared" si="2"/>
        <v>86.999780000000001</v>
      </c>
      <c r="O22" s="84" t="str">
        <f t="shared" si="3"/>
        <v/>
      </c>
      <c r="P22" s="84" t="str">
        <f t="shared" si="4"/>
        <v/>
      </c>
      <c r="Q22" s="84" t="str">
        <f t="shared" si="5"/>
        <v/>
      </c>
      <c r="R22" s="84" t="str">
        <f t="shared" si="6"/>
        <v/>
      </c>
      <c r="S22" s="84" t="str">
        <f t="shared" si="7"/>
        <v/>
      </c>
      <c r="T22" s="84" t="str">
        <f t="shared" si="8"/>
        <v/>
      </c>
      <c r="U22" s="1"/>
      <c r="V22" s="1"/>
      <c r="W22" s="1"/>
      <c r="X22" s="1"/>
      <c r="Y22" s="1"/>
      <c r="Z22" s="1"/>
      <c r="AA22" s="1"/>
      <c r="AB22" s="1"/>
      <c r="AC22" s="1"/>
      <c r="AD22" s="84">
        <f t="shared" si="9"/>
        <v>86.999780000000001</v>
      </c>
      <c r="AE22" s="84" t="str">
        <f t="shared" si="10"/>
        <v/>
      </c>
      <c r="AF22" s="84" t="str">
        <f t="shared" si="11"/>
        <v/>
      </c>
      <c r="AG22" s="1"/>
      <c r="AH22" s="1"/>
      <c r="AI22" s="1"/>
      <c r="AJ22" s="84">
        <f t="shared" si="12"/>
        <v>86.999780000000001</v>
      </c>
      <c r="AK22" s="84" t="str">
        <f t="shared" si="13"/>
        <v/>
      </c>
      <c r="AL22" s="84" t="str">
        <f t="shared" si="14"/>
        <v/>
      </c>
      <c r="AM22" s="1"/>
      <c r="AN22" s="1"/>
      <c r="AO22" s="1"/>
      <c r="AP22" s="84">
        <f t="shared" si="15"/>
        <v>86.999780000000001</v>
      </c>
      <c r="AQ22" s="84" t="str">
        <f t="shared" si="16"/>
        <v/>
      </c>
      <c r="AR22" s="84" t="str">
        <f t="shared" si="17"/>
        <v/>
      </c>
    </row>
    <row r="23" spans="1:44" ht="19" customHeight="1" x14ac:dyDescent="0.3">
      <c r="A23" s="75" t="s">
        <v>86</v>
      </c>
      <c r="B23" s="75"/>
      <c r="C23" s="75"/>
      <c r="D23" s="89">
        <f>持有情况!R58-ROW()*0.00001</f>
        <v>60.999769999999998</v>
      </c>
      <c r="E23" s="89">
        <v>2</v>
      </c>
      <c r="F23" s="90">
        <v>0</v>
      </c>
      <c r="G23" s="89">
        <v>2</v>
      </c>
      <c r="H23" s="89">
        <v>1</v>
      </c>
      <c r="I23" s="84" t="s">
        <v>282</v>
      </c>
      <c r="J23" s="89">
        <f>INT((8.5/100)*路线!B13+17*路线!B21+15*路线!B31+40)-ROW()*0.00001</f>
        <v>60.999769999999998</v>
      </c>
      <c r="K23" s="1"/>
      <c r="L23" s="84" t="str">
        <f t="shared" si="0"/>
        <v/>
      </c>
      <c r="M23" s="84" t="str">
        <f t="shared" si="1"/>
        <v/>
      </c>
      <c r="N23" s="84" t="str">
        <f t="shared" si="2"/>
        <v/>
      </c>
      <c r="O23" s="84" t="str">
        <f t="shared" si="3"/>
        <v/>
      </c>
      <c r="P23" s="84">
        <f t="shared" si="4"/>
        <v>60.999769999999998</v>
      </c>
      <c r="Q23" s="84" t="str">
        <f t="shared" si="5"/>
        <v/>
      </c>
      <c r="R23" s="84" t="str">
        <f t="shared" si="6"/>
        <v/>
      </c>
      <c r="S23" s="84" t="str">
        <f t="shared" si="7"/>
        <v/>
      </c>
      <c r="T23" s="84" t="str">
        <f t="shared" si="8"/>
        <v/>
      </c>
      <c r="U23" s="1"/>
      <c r="V23" s="1"/>
      <c r="W23" s="1"/>
      <c r="X23" s="1"/>
      <c r="Y23" s="1"/>
      <c r="Z23" s="1"/>
      <c r="AA23" s="1"/>
      <c r="AB23" s="1"/>
      <c r="AC23" s="1"/>
      <c r="AD23" s="84" t="str">
        <f t="shared" si="9"/>
        <v/>
      </c>
      <c r="AE23" s="84" t="str">
        <f t="shared" si="10"/>
        <v/>
      </c>
      <c r="AF23" s="84" t="str">
        <f t="shared" si="11"/>
        <v/>
      </c>
      <c r="AG23" s="1"/>
      <c r="AH23" s="1"/>
      <c r="AI23" s="1"/>
      <c r="AJ23" s="84" t="str">
        <f t="shared" si="12"/>
        <v/>
      </c>
      <c r="AK23" s="84">
        <f t="shared" si="13"/>
        <v>60.999769999999998</v>
      </c>
      <c r="AL23" s="84" t="str">
        <f t="shared" si="14"/>
        <v/>
      </c>
      <c r="AM23" s="1"/>
      <c r="AN23" s="1"/>
      <c r="AO23" s="1"/>
      <c r="AP23" s="84" t="str">
        <f t="shared" si="15"/>
        <v/>
      </c>
      <c r="AQ23" s="84" t="str">
        <f t="shared" si="16"/>
        <v/>
      </c>
      <c r="AR23" s="84" t="str">
        <f t="shared" si="17"/>
        <v/>
      </c>
    </row>
    <row r="24" spans="1:44" ht="19" customHeight="1" x14ac:dyDescent="0.3">
      <c r="A24" s="75" t="s">
        <v>56</v>
      </c>
      <c r="B24" s="75"/>
      <c r="C24" s="75"/>
      <c r="D24" s="89">
        <f>持有情况!R34-ROW()*0.00001</f>
        <v>104.99975999999999</v>
      </c>
      <c r="E24" s="90">
        <v>0</v>
      </c>
      <c r="F24" s="90">
        <v>0</v>
      </c>
      <c r="G24" s="89">
        <v>2</v>
      </c>
      <c r="H24" s="89">
        <v>1</v>
      </c>
      <c r="I24" s="84" t="s">
        <v>302</v>
      </c>
      <c r="J24" s="89">
        <f>INT((8.5/100)*路线!B13+22*路线!B32+15*路线!B31+40)-ROW()*0.00001</f>
        <v>104.99975999999999</v>
      </c>
      <c r="K24" s="1"/>
      <c r="L24" s="84" t="str">
        <f t="shared" si="0"/>
        <v/>
      </c>
      <c r="M24" s="84" t="str">
        <f t="shared" si="1"/>
        <v/>
      </c>
      <c r="N24" s="84" t="str">
        <f t="shared" si="2"/>
        <v/>
      </c>
      <c r="O24" s="84">
        <f t="shared" si="3"/>
        <v>104.99975999999999</v>
      </c>
      <c r="P24" s="84">
        <f t="shared" si="4"/>
        <v>104.99975999999999</v>
      </c>
      <c r="Q24" s="84">
        <f t="shared" si="5"/>
        <v>104.99975999999999</v>
      </c>
      <c r="R24" s="84" t="str">
        <f t="shared" si="6"/>
        <v/>
      </c>
      <c r="S24" s="84" t="str">
        <f t="shared" si="7"/>
        <v/>
      </c>
      <c r="T24" s="84" t="str">
        <f t="shared" si="8"/>
        <v/>
      </c>
      <c r="U24" s="1"/>
      <c r="V24" s="1"/>
      <c r="W24" s="1"/>
      <c r="X24" s="1"/>
      <c r="Y24" s="1"/>
      <c r="Z24" s="1"/>
      <c r="AA24" s="1"/>
      <c r="AB24" s="1"/>
      <c r="AC24" s="1"/>
      <c r="AD24" s="84" t="str">
        <f t="shared" si="9"/>
        <v/>
      </c>
      <c r="AE24" s="84">
        <f t="shared" si="10"/>
        <v>104.99975999999999</v>
      </c>
      <c r="AF24" s="84" t="str">
        <f t="shared" si="11"/>
        <v/>
      </c>
      <c r="AG24" s="1"/>
      <c r="AH24" s="1"/>
      <c r="AI24" s="1"/>
      <c r="AJ24" s="84" t="str">
        <f t="shared" si="12"/>
        <v/>
      </c>
      <c r="AK24" s="84">
        <f t="shared" si="13"/>
        <v>104.99975999999999</v>
      </c>
      <c r="AL24" s="84" t="str">
        <f t="shared" si="14"/>
        <v/>
      </c>
      <c r="AM24" s="1"/>
      <c r="AN24" s="1"/>
      <c r="AO24" s="1"/>
      <c r="AP24" s="84" t="str">
        <f t="shared" si="15"/>
        <v/>
      </c>
      <c r="AQ24" s="84">
        <f t="shared" si="16"/>
        <v>104.99975999999999</v>
      </c>
      <c r="AR24" s="84" t="str">
        <f t="shared" si="17"/>
        <v/>
      </c>
    </row>
    <row r="25" spans="1:44" ht="19" customHeight="1" x14ac:dyDescent="0.3">
      <c r="A25" s="75" t="s">
        <v>126</v>
      </c>
      <c r="B25" s="75"/>
      <c r="C25" s="75"/>
      <c r="D25" s="89">
        <f>持有情况!R94-ROW()*0.00001</f>
        <v>117.99975000000001</v>
      </c>
      <c r="E25" s="89">
        <v>2</v>
      </c>
      <c r="F25" s="89">
        <v>1</v>
      </c>
      <c r="G25" s="89">
        <v>2</v>
      </c>
      <c r="H25" s="90">
        <v>0</v>
      </c>
      <c r="I25" s="1"/>
      <c r="J25" s="89">
        <f>INT(60+17*路线!B21+9*路线!B29+40)-ROW()*0.00001</f>
        <v>117.99975000000001</v>
      </c>
      <c r="K25" s="1"/>
      <c r="L25" s="84" t="str">
        <f t="shared" si="0"/>
        <v/>
      </c>
      <c r="M25" s="84" t="str">
        <f t="shared" si="1"/>
        <v/>
      </c>
      <c r="N25" s="84" t="str">
        <f t="shared" si="2"/>
        <v/>
      </c>
      <c r="O25" s="84" t="str">
        <f t="shared" si="3"/>
        <v/>
      </c>
      <c r="P25" s="84">
        <f t="shared" si="4"/>
        <v>117.99975000000001</v>
      </c>
      <c r="Q25" s="84" t="str">
        <f t="shared" si="5"/>
        <v/>
      </c>
      <c r="R25" s="84" t="str">
        <f t="shared" si="6"/>
        <v/>
      </c>
      <c r="S25" s="84" t="str">
        <f t="shared" si="7"/>
        <v/>
      </c>
      <c r="T25" s="84" t="str">
        <f t="shared" si="8"/>
        <v/>
      </c>
      <c r="U25" s="1"/>
      <c r="V25" s="1"/>
      <c r="W25" s="1"/>
      <c r="X25" s="1"/>
      <c r="Y25" s="1"/>
      <c r="Z25" s="1"/>
      <c r="AA25" s="1"/>
      <c r="AB25" s="1"/>
      <c r="AC25" s="1"/>
      <c r="AD25" s="84" t="str">
        <f t="shared" si="9"/>
        <v/>
      </c>
      <c r="AE25" s="84" t="str">
        <f t="shared" si="10"/>
        <v/>
      </c>
      <c r="AF25" s="84" t="str">
        <f t="shared" si="11"/>
        <v/>
      </c>
      <c r="AG25" s="1"/>
      <c r="AH25" s="1"/>
      <c r="AI25" s="1"/>
      <c r="AJ25" s="84" t="str">
        <f t="shared" si="12"/>
        <v/>
      </c>
      <c r="AK25" s="84">
        <f t="shared" si="13"/>
        <v>117.99975000000001</v>
      </c>
      <c r="AL25" s="84" t="str">
        <f t="shared" si="14"/>
        <v/>
      </c>
      <c r="AM25" s="1"/>
      <c r="AN25" s="1"/>
      <c r="AO25" s="1"/>
      <c r="AP25" s="84" t="str">
        <f t="shared" si="15"/>
        <v/>
      </c>
      <c r="AQ25" s="84" t="str">
        <f t="shared" si="16"/>
        <v/>
      </c>
      <c r="AR25" s="84" t="str">
        <f t="shared" si="17"/>
        <v/>
      </c>
    </row>
    <row r="26" spans="1:44" ht="19" customHeight="1" x14ac:dyDescent="0.3">
      <c r="A26" s="57" t="s">
        <v>112</v>
      </c>
      <c r="B26" s="57"/>
      <c r="C26" s="57"/>
      <c r="D26" s="89">
        <f>持有情况!H82-ROW()*0.00001</f>
        <v>60.999740000000003</v>
      </c>
      <c r="E26" s="89">
        <v>3</v>
      </c>
      <c r="F26" s="89">
        <v>1</v>
      </c>
      <c r="G26" s="89">
        <v>1</v>
      </c>
      <c r="H26" s="90">
        <v>0</v>
      </c>
      <c r="I26" s="1"/>
      <c r="J26" s="89">
        <f>INT((8.5/100)*路线!B13+15*路线!B31+40)-ROW()*0.00001</f>
        <v>60.999740000000003</v>
      </c>
      <c r="K26" s="1"/>
      <c r="L26" s="84" t="str">
        <f t="shared" si="0"/>
        <v/>
      </c>
      <c r="M26" s="84" t="str">
        <f t="shared" si="1"/>
        <v/>
      </c>
      <c r="N26" s="84">
        <f t="shared" si="2"/>
        <v>60.999740000000003</v>
      </c>
      <c r="O26" s="84" t="str">
        <f t="shared" si="3"/>
        <v/>
      </c>
      <c r="P26" s="84" t="str">
        <f t="shared" si="4"/>
        <v/>
      </c>
      <c r="Q26" s="84" t="str">
        <f t="shared" si="5"/>
        <v/>
      </c>
      <c r="R26" s="84" t="str">
        <f t="shared" si="6"/>
        <v/>
      </c>
      <c r="S26" s="84" t="str">
        <f t="shared" si="7"/>
        <v/>
      </c>
      <c r="T26" s="84" t="str">
        <f t="shared" si="8"/>
        <v/>
      </c>
      <c r="U26" s="1"/>
      <c r="V26" s="1"/>
      <c r="W26" s="1"/>
      <c r="X26" s="1"/>
      <c r="Y26" s="1"/>
      <c r="Z26" s="1"/>
      <c r="AA26" s="1"/>
      <c r="AB26" s="1"/>
      <c r="AC26" s="1"/>
      <c r="AD26" s="84" t="str">
        <f t="shared" si="9"/>
        <v/>
      </c>
      <c r="AE26" s="84" t="str">
        <f t="shared" si="10"/>
        <v/>
      </c>
      <c r="AF26" s="84" t="str">
        <f t="shared" si="11"/>
        <v/>
      </c>
      <c r="AG26" s="1"/>
      <c r="AH26" s="1"/>
      <c r="AI26" s="1"/>
      <c r="AJ26" s="84" t="str">
        <f t="shared" si="12"/>
        <v/>
      </c>
      <c r="AK26" s="84" t="str">
        <f t="shared" si="13"/>
        <v/>
      </c>
      <c r="AL26" s="84" t="str">
        <f t="shared" si="14"/>
        <v/>
      </c>
      <c r="AM26" s="1"/>
      <c r="AN26" s="1"/>
      <c r="AO26" s="1"/>
      <c r="AP26" s="84">
        <f t="shared" si="15"/>
        <v>60.999740000000003</v>
      </c>
      <c r="AQ26" s="84" t="str">
        <f t="shared" si="16"/>
        <v/>
      </c>
      <c r="AR26" s="84" t="str">
        <f t="shared" si="17"/>
        <v/>
      </c>
    </row>
    <row r="27" spans="1:44" ht="19" customHeight="1" x14ac:dyDescent="0.3">
      <c r="A27" s="67" t="s">
        <v>122</v>
      </c>
      <c r="B27" s="67"/>
      <c r="C27" s="67"/>
      <c r="D27" s="89">
        <f>持有情况!AB88-ROW()*0.00001</f>
        <v>179.99973</v>
      </c>
      <c r="E27" s="89">
        <v>2</v>
      </c>
      <c r="F27" s="89">
        <v>1</v>
      </c>
      <c r="G27" s="89">
        <v>3</v>
      </c>
      <c r="H27" s="89">
        <v>1</v>
      </c>
      <c r="I27" s="84" t="s">
        <v>329</v>
      </c>
      <c r="J27" s="89">
        <f>INT(60+3*路线!B24+11*路线!B33+40)-ROW()*0.00001</f>
        <v>179.99973</v>
      </c>
      <c r="K27" s="1"/>
      <c r="L27" s="84" t="str">
        <f t="shared" si="0"/>
        <v/>
      </c>
      <c r="M27" s="84" t="str">
        <f t="shared" si="1"/>
        <v/>
      </c>
      <c r="N27" s="84" t="str">
        <f t="shared" si="2"/>
        <v/>
      </c>
      <c r="O27" s="84" t="str">
        <f t="shared" si="3"/>
        <v/>
      </c>
      <c r="P27" s="84" t="str">
        <f t="shared" si="4"/>
        <v/>
      </c>
      <c r="Q27" s="84" t="str">
        <f t="shared" si="5"/>
        <v/>
      </c>
      <c r="R27" s="84" t="str">
        <f t="shared" si="6"/>
        <v/>
      </c>
      <c r="S27" s="84">
        <f t="shared" si="7"/>
        <v>179.99973</v>
      </c>
      <c r="T27" s="84" t="str">
        <f t="shared" si="8"/>
        <v/>
      </c>
      <c r="U27" s="1"/>
      <c r="V27" s="1"/>
      <c r="W27" s="1"/>
      <c r="X27" s="1"/>
      <c r="Y27" s="1"/>
      <c r="Z27" s="1"/>
      <c r="AA27" s="1"/>
      <c r="AB27" s="1"/>
      <c r="AC27" s="1"/>
      <c r="AD27" s="84" t="str">
        <f t="shared" si="9"/>
        <v/>
      </c>
      <c r="AE27" s="84" t="str">
        <f t="shared" si="10"/>
        <v/>
      </c>
      <c r="AF27" s="84" t="str">
        <f t="shared" si="11"/>
        <v/>
      </c>
      <c r="AG27" s="1"/>
      <c r="AH27" s="1"/>
      <c r="AI27" s="1"/>
      <c r="AJ27" s="84" t="str">
        <f t="shared" si="12"/>
        <v/>
      </c>
      <c r="AK27" s="84" t="str">
        <f t="shared" si="13"/>
        <v/>
      </c>
      <c r="AL27" s="84">
        <f t="shared" si="14"/>
        <v>179.99973</v>
      </c>
      <c r="AM27" s="1"/>
      <c r="AN27" s="1"/>
      <c r="AO27" s="1"/>
      <c r="AP27" s="84" t="str">
        <f t="shared" si="15"/>
        <v/>
      </c>
      <c r="AQ27" s="84" t="str">
        <f t="shared" si="16"/>
        <v/>
      </c>
      <c r="AR27" s="84" t="str">
        <f t="shared" si="17"/>
        <v/>
      </c>
    </row>
    <row r="28" spans="1:44" ht="19" customHeight="1" x14ac:dyDescent="0.3">
      <c r="A28" s="75" t="s">
        <v>110</v>
      </c>
      <c r="B28" s="75"/>
      <c r="C28" s="75"/>
      <c r="D28" s="89">
        <f>IF(路线!B4="计算",持有情况!AW78,持有情况!AV76)-ROW()*0.00001</f>
        <v>151.99972</v>
      </c>
      <c r="E28" s="89">
        <v>2</v>
      </c>
      <c r="F28" s="89">
        <v>1</v>
      </c>
      <c r="G28" s="89">
        <v>2</v>
      </c>
      <c r="H28" s="90">
        <v>0</v>
      </c>
      <c r="I28" s="1"/>
      <c r="J28" s="89">
        <f>IF(路线!B4="计算",INT(45+17+13*路线!B21+30+持有情况!AW75),INT(45+17+13*路线!B21+30))-ROW()*0.00001</f>
        <v>151.99972</v>
      </c>
      <c r="K28" s="1"/>
      <c r="L28" s="84" t="str">
        <f t="shared" si="0"/>
        <v/>
      </c>
      <c r="M28" s="84" t="str">
        <f t="shared" si="1"/>
        <v/>
      </c>
      <c r="N28" s="84" t="str">
        <f t="shared" si="2"/>
        <v/>
      </c>
      <c r="O28" s="84" t="str">
        <f t="shared" si="3"/>
        <v/>
      </c>
      <c r="P28" s="84">
        <f t="shared" si="4"/>
        <v>151.99972</v>
      </c>
      <c r="Q28" s="84" t="str">
        <f t="shared" si="5"/>
        <v/>
      </c>
      <c r="R28" s="84" t="str">
        <f t="shared" si="6"/>
        <v/>
      </c>
      <c r="S28" s="84" t="str">
        <f t="shared" si="7"/>
        <v/>
      </c>
      <c r="T28" s="84" t="str">
        <f t="shared" si="8"/>
        <v/>
      </c>
      <c r="U28" s="1"/>
      <c r="V28" s="1"/>
      <c r="W28" s="1"/>
      <c r="X28" s="1"/>
      <c r="Y28" s="1"/>
      <c r="Z28" s="1"/>
      <c r="AA28" s="1"/>
      <c r="AB28" s="1"/>
      <c r="AC28" s="1"/>
      <c r="AD28" s="84" t="str">
        <f t="shared" si="9"/>
        <v/>
      </c>
      <c r="AE28" s="84" t="str">
        <f t="shared" si="10"/>
        <v/>
      </c>
      <c r="AF28" s="84" t="str">
        <f t="shared" si="11"/>
        <v/>
      </c>
      <c r="AG28" s="1"/>
      <c r="AH28" s="1"/>
      <c r="AI28" s="1"/>
      <c r="AJ28" s="84" t="str">
        <f t="shared" si="12"/>
        <v/>
      </c>
      <c r="AK28" s="84">
        <f t="shared" si="13"/>
        <v>151.99972</v>
      </c>
      <c r="AL28" s="84" t="str">
        <f t="shared" si="14"/>
        <v/>
      </c>
      <c r="AM28" s="1"/>
      <c r="AN28" s="1"/>
      <c r="AO28" s="1"/>
      <c r="AP28" s="84" t="str">
        <f t="shared" si="15"/>
        <v/>
      </c>
      <c r="AQ28" s="84" t="str">
        <f t="shared" si="16"/>
        <v/>
      </c>
      <c r="AR28" s="84" t="str">
        <f t="shared" si="17"/>
        <v/>
      </c>
    </row>
    <row r="29" spans="1:44" ht="19" customHeight="1" x14ac:dyDescent="0.3">
      <c r="A29" s="75" t="s">
        <v>95</v>
      </c>
      <c r="B29" s="75"/>
      <c r="C29" s="75"/>
      <c r="D29" s="89">
        <f>持有情况!AV64-ROW()*0.00001</f>
        <v>159.99970999999999</v>
      </c>
      <c r="E29" s="89">
        <v>2</v>
      </c>
      <c r="F29" s="90">
        <v>0</v>
      </c>
      <c r="G29" s="89">
        <v>2</v>
      </c>
      <c r="H29" s="89">
        <v>1</v>
      </c>
      <c r="I29" s="84" t="s">
        <v>331</v>
      </c>
      <c r="J29" s="89">
        <f>IF(路线!C6="计算",INT(45+8*路线!B33+11*路线!B34+10*路线!B31+30+20)-ROW()*0.00001,INT(45+8*路线!B33+11*路线!B34+10*路线!B31+30)-ROW()*0.00001)</f>
        <v>159.99970999999999</v>
      </c>
      <c r="K29" s="1"/>
      <c r="L29" s="84" t="str">
        <f t="shared" si="0"/>
        <v/>
      </c>
      <c r="M29" s="84" t="str">
        <f t="shared" si="1"/>
        <v/>
      </c>
      <c r="N29" s="84" t="str">
        <f t="shared" si="2"/>
        <v/>
      </c>
      <c r="O29" s="84" t="str">
        <f t="shared" si="3"/>
        <v/>
      </c>
      <c r="P29" s="84">
        <f t="shared" si="4"/>
        <v>159.99970999999999</v>
      </c>
      <c r="Q29" s="84" t="str">
        <f t="shared" si="5"/>
        <v/>
      </c>
      <c r="R29" s="84" t="str">
        <f t="shared" si="6"/>
        <v/>
      </c>
      <c r="S29" s="84" t="str">
        <f t="shared" si="7"/>
        <v/>
      </c>
      <c r="T29" s="84" t="str">
        <f t="shared" si="8"/>
        <v/>
      </c>
      <c r="U29" s="1"/>
      <c r="V29" s="1"/>
      <c r="W29" s="1"/>
      <c r="X29" s="1"/>
      <c r="Y29" s="1"/>
      <c r="Z29" s="1"/>
      <c r="AA29" s="1"/>
      <c r="AB29" s="1"/>
      <c r="AC29" s="1"/>
      <c r="AD29" s="84" t="str">
        <f t="shared" si="9"/>
        <v/>
      </c>
      <c r="AE29" s="84" t="str">
        <f t="shared" si="10"/>
        <v/>
      </c>
      <c r="AF29" s="84" t="str">
        <f t="shared" si="11"/>
        <v/>
      </c>
      <c r="AG29" s="1"/>
      <c r="AH29" s="1"/>
      <c r="AI29" s="1"/>
      <c r="AJ29" s="84" t="str">
        <f t="shared" si="12"/>
        <v/>
      </c>
      <c r="AK29" s="84">
        <f t="shared" si="13"/>
        <v>159.99970999999999</v>
      </c>
      <c r="AL29" s="84" t="str">
        <f t="shared" si="14"/>
        <v/>
      </c>
      <c r="AM29" s="1"/>
      <c r="AN29" s="1"/>
      <c r="AO29" s="1"/>
      <c r="AP29" s="84" t="str">
        <f t="shared" si="15"/>
        <v/>
      </c>
      <c r="AQ29" s="84" t="str">
        <f t="shared" si="16"/>
        <v/>
      </c>
      <c r="AR29" s="84" t="str">
        <f t="shared" si="17"/>
        <v/>
      </c>
    </row>
    <row r="30" spans="1:44" ht="19" customHeight="1" x14ac:dyDescent="0.3">
      <c r="A30" s="57" t="s">
        <v>101</v>
      </c>
      <c r="B30" s="57"/>
      <c r="C30" s="57"/>
      <c r="D30" s="89">
        <f>持有情况!AL70-ROW()*0.00001</f>
        <v>100.9997</v>
      </c>
      <c r="E30" s="89">
        <v>2</v>
      </c>
      <c r="F30" s="90">
        <v>0</v>
      </c>
      <c r="G30" s="89">
        <v>1</v>
      </c>
      <c r="H30" s="89">
        <v>1</v>
      </c>
      <c r="I30" s="84" t="s">
        <v>311</v>
      </c>
      <c r="J30" s="89">
        <f>IF(路线!C6="计算",INT((6.4/100)*路线!B13+5*路线!B30+10*路线!B31+30+20)-ROW()*0.00001,INT((6.4/100)*路线!B13+5*路线!B30+10*路线!B31+30)-ROW()*0.00001)</f>
        <v>100.9997</v>
      </c>
      <c r="K30" s="1"/>
      <c r="L30" s="84" t="str">
        <f t="shared" si="0"/>
        <v/>
      </c>
      <c r="M30" s="84">
        <f t="shared" si="1"/>
        <v>100.9997</v>
      </c>
      <c r="N30" s="84" t="str">
        <f t="shared" si="2"/>
        <v/>
      </c>
      <c r="O30" s="84" t="str">
        <f t="shared" si="3"/>
        <v/>
      </c>
      <c r="P30" s="84" t="str">
        <f t="shared" si="4"/>
        <v/>
      </c>
      <c r="Q30" s="84" t="str">
        <f t="shared" si="5"/>
        <v/>
      </c>
      <c r="R30" s="84" t="str">
        <f t="shared" si="6"/>
        <v/>
      </c>
      <c r="S30" s="84" t="str">
        <f t="shared" si="7"/>
        <v/>
      </c>
      <c r="T30" s="84" t="str">
        <f t="shared" si="8"/>
        <v/>
      </c>
      <c r="U30" s="1"/>
      <c r="V30" s="1"/>
      <c r="W30" s="1"/>
      <c r="X30" s="1"/>
      <c r="Y30" s="1"/>
      <c r="Z30" s="1"/>
      <c r="AA30" s="1"/>
      <c r="AB30" s="1"/>
      <c r="AC30" s="1"/>
      <c r="AD30" s="84" t="str">
        <f t="shared" si="9"/>
        <v/>
      </c>
      <c r="AE30" s="84" t="str">
        <f t="shared" si="10"/>
        <v/>
      </c>
      <c r="AF30" s="84" t="str">
        <f t="shared" si="11"/>
        <v/>
      </c>
      <c r="AG30" s="1"/>
      <c r="AH30" s="1"/>
      <c r="AI30" s="1"/>
      <c r="AJ30" s="84">
        <f t="shared" si="12"/>
        <v>100.9997</v>
      </c>
      <c r="AK30" s="84" t="str">
        <f t="shared" si="13"/>
        <v/>
      </c>
      <c r="AL30" s="84" t="str">
        <f t="shared" si="14"/>
        <v/>
      </c>
      <c r="AM30" s="1"/>
      <c r="AN30" s="1"/>
      <c r="AO30" s="1"/>
      <c r="AP30" s="84" t="str">
        <f t="shared" si="15"/>
        <v/>
      </c>
      <c r="AQ30" s="84" t="str">
        <f t="shared" si="16"/>
        <v/>
      </c>
      <c r="AR30" s="84" t="str">
        <f t="shared" si="17"/>
        <v/>
      </c>
    </row>
    <row r="31" spans="1:44" ht="19" customHeight="1" x14ac:dyDescent="0.3">
      <c r="A31" s="57" t="s">
        <v>91</v>
      </c>
      <c r="B31" s="57"/>
      <c r="C31" s="57"/>
      <c r="D31" s="89">
        <f>持有情况!H64-ROW()*0.00001</f>
        <v>125.99969</v>
      </c>
      <c r="E31" s="90">
        <v>0</v>
      </c>
      <c r="F31" s="90">
        <v>0</v>
      </c>
      <c r="G31" s="89">
        <v>1</v>
      </c>
      <c r="H31" s="89">
        <v>1</v>
      </c>
      <c r="I31" s="84" t="s">
        <v>283</v>
      </c>
      <c r="J31" s="89">
        <f>INT((8.5/100)*路线!B13+7*路线!B30+4*(路线!B28+路线!B29)+17*路线!B21+40)-ROW()*0.00001</f>
        <v>125.99969</v>
      </c>
      <c r="K31" s="1"/>
      <c r="L31" s="84">
        <f t="shared" si="0"/>
        <v>125.99969</v>
      </c>
      <c r="M31" s="84">
        <f t="shared" si="1"/>
        <v>125.99969</v>
      </c>
      <c r="N31" s="84">
        <f t="shared" si="2"/>
        <v>125.99969</v>
      </c>
      <c r="O31" s="84" t="str">
        <f t="shared" si="3"/>
        <v/>
      </c>
      <c r="P31" s="84" t="str">
        <f t="shared" si="4"/>
        <v/>
      </c>
      <c r="Q31" s="84" t="str">
        <f t="shared" si="5"/>
        <v/>
      </c>
      <c r="R31" s="84" t="str">
        <f t="shared" si="6"/>
        <v/>
      </c>
      <c r="S31" s="84" t="str">
        <f t="shared" si="7"/>
        <v/>
      </c>
      <c r="T31" s="84" t="str">
        <f t="shared" si="8"/>
        <v/>
      </c>
      <c r="U31" s="1"/>
      <c r="V31" s="1"/>
      <c r="W31" s="1"/>
      <c r="X31" s="1"/>
      <c r="Y31" s="1"/>
      <c r="Z31" s="1"/>
      <c r="AA31" s="1"/>
      <c r="AB31" s="1"/>
      <c r="AC31" s="1"/>
      <c r="AD31" s="84">
        <f t="shared" si="9"/>
        <v>125.99969</v>
      </c>
      <c r="AE31" s="84" t="str">
        <f t="shared" si="10"/>
        <v/>
      </c>
      <c r="AF31" s="84" t="str">
        <f t="shared" si="11"/>
        <v/>
      </c>
      <c r="AG31" s="1"/>
      <c r="AH31" s="1"/>
      <c r="AI31" s="1"/>
      <c r="AJ31" s="84">
        <f t="shared" si="12"/>
        <v>125.99969</v>
      </c>
      <c r="AK31" s="84" t="str">
        <f t="shared" si="13"/>
        <v/>
      </c>
      <c r="AL31" s="84" t="str">
        <f t="shared" si="14"/>
        <v/>
      </c>
      <c r="AM31" s="1"/>
      <c r="AN31" s="1"/>
      <c r="AO31" s="1"/>
      <c r="AP31" s="84">
        <f t="shared" si="15"/>
        <v>125.99969</v>
      </c>
      <c r="AQ31" s="84" t="str">
        <f t="shared" si="16"/>
        <v/>
      </c>
      <c r="AR31" s="84" t="str">
        <f t="shared" si="17"/>
        <v/>
      </c>
    </row>
    <row r="32" spans="1:44" ht="19" customHeight="1" x14ac:dyDescent="0.3">
      <c r="A32" s="67" t="s">
        <v>108</v>
      </c>
      <c r="B32" s="67"/>
      <c r="C32" s="67"/>
      <c r="D32" s="89">
        <f>持有情况!AB76-ROW()*0.00001</f>
        <v>145.99968000000001</v>
      </c>
      <c r="E32" s="90">
        <v>0</v>
      </c>
      <c r="F32" s="90">
        <v>0</v>
      </c>
      <c r="G32" s="89">
        <v>3</v>
      </c>
      <c r="H32" s="89">
        <v>1</v>
      </c>
      <c r="I32" s="84" t="s">
        <v>284</v>
      </c>
      <c r="J32" s="89">
        <f>IF(路线!C6="计算",INT((8.5/100)*路线!B13+7*路线!B30+4*(路线!B28+路线!B29)+17*路线!B21+40+20)-ROW()*0.00001,INT((8.5/100)*路线!B13+7*路线!B30+4*(路线!B28+路线!B29)+17*路线!B21+40)-ROW()*0.00001)</f>
        <v>145.99968000000001</v>
      </c>
      <c r="K32" s="1"/>
      <c r="L32" s="84" t="str">
        <f t="shared" si="0"/>
        <v/>
      </c>
      <c r="M32" s="84" t="str">
        <f t="shared" si="1"/>
        <v/>
      </c>
      <c r="N32" s="84" t="str">
        <f t="shared" si="2"/>
        <v/>
      </c>
      <c r="O32" s="84" t="str">
        <f t="shared" si="3"/>
        <v/>
      </c>
      <c r="P32" s="84" t="str">
        <f t="shared" si="4"/>
        <v/>
      </c>
      <c r="Q32" s="84" t="str">
        <f t="shared" si="5"/>
        <v/>
      </c>
      <c r="R32" s="84">
        <f t="shared" si="6"/>
        <v>145.99968000000001</v>
      </c>
      <c r="S32" s="84">
        <f t="shared" si="7"/>
        <v>145.99968000000001</v>
      </c>
      <c r="T32" s="84">
        <f t="shared" si="8"/>
        <v>145.99968000000001</v>
      </c>
      <c r="U32" s="1"/>
      <c r="V32" s="1"/>
      <c r="W32" s="1"/>
      <c r="X32" s="1"/>
      <c r="Y32" s="1"/>
      <c r="Z32" s="1"/>
      <c r="AA32" s="1"/>
      <c r="AB32" s="1"/>
      <c r="AC32" s="1"/>
      <c r="AD32" s="84" t="str">
        <f t="shared" si="9"/>
        <v/>
      </c>
      <c r="AE32" s="84" t="str">
        <f t="shared" si="10"/>
        <v/>
      </c>
      <c r="AF32" s="84">
        <f t="shared" si="11"/>
        <v>145.99968000000001</v>
      </c>
      <c r="AG32" s="1"/>
      <c r="AH32" s="1"/>
      <c r="AI32" s="1"/>
      <c r="AJ32" s="84" t="str">
        <f t="shared" si="12"/>
        <v/>
      </c>
      <c r="AK32" s="84" t="str">
        <f t="shared" si="13"/>
        <v/>
      </c>
      <c r="AL32" s="84">
        <f t="shared" si="14"/>
        <v>145.99968000000001</v>
      </c>
      <c r="AM32" s="1"/>
      <c r="AN32" s="1"/>
      <c r="AO32" s="1"/>
      <c r="AP32" s="84" t="str">
        <f t="shared" si="15"/>
        <v/>
      </c>
      <c r="AQ32" s="84" t="str">
        <f t="shared" si="16"/>
        <v/>
      </c>
      <c r="AR32" s="84">
        <f t="shared" si="17"/>
        <v>145.99968000000001</v>
      </c>
    </row>
    <row r="33" spans="1:44" ht="19" customHeight="1" x14ac:dyDescent="0.3">
      <c r="A33" s="67" t="s">
        <v>25</v>
      </c>
      <c r="B33" s="67"/>
      <c r="C33" s="67"/>
      <c r="D33" s="89">
        <f>持有情况!AB10-ROW()*0.00001</f>
        <v>125.99966999999999</v>
      </c>
      <c r="E33" s="90">
        <v>0</v>
      </c>
      <c r="F33" s="90">
        <v>0</v>
      </c>
      <c r="G33" s="89">
        <v>3</v>
      </c>
      <c r="H33" s="89">
        <v>1</v>
      </c>
      <c r="I33" s="84" t="s">
        <v>304</v>
      </c>
      <c r="J33" s="89">
        <f>INT(路线!B13*(8.5/100)+7*路线!B30+4*(路线!B28+路线!B29)+40)-ROW()*0.00001</f>
        <v>125.99966999999999</v>
      </c>
      <c r="K33" s="1"/>
      <c r="L33" s="84" t="str">
        <f t="shared" si="0"/>
        <v/>
      </c>
      <c r="M33" s="84" t="str">
        <f t="shared" si="1"/>
        <v/>
      </c>
      <c r="N33" s="84" t="str">
        <f t="shared" si="2"/>
        <v/>
      </c>
      <c r="O33" s="84" t="str">
        <f t="shared" si="3"/>
        <v/>
      </c>
      <c r="P33" s="84" t="str">
        <f t="shared" si="4"/>
        <v/>
      </c>
      <c r="Q33" s="84" t="str">
        <f t="shared" si="5"/>
        <v/>
      </c>
      <c r="R33" s="84">
        <f t="shared" si="6"/>
        <v>125.99966999999999</v>
      </c>
      <c r="S33" s="84">
        <f t="shared" si="7"/>
        <v>125.99966999999999</v>
      </c>
      <c r="T33" s="84">
        <f t="shared" si="8"/>
        <v>125.99966999999999</v>
      </c>
      <c r="U33" s="1"/>
      <c r="V33" s="1"/>
      <c r="W33" s="1"/>
      <c r="X33" s="1"/>
      <c r="Y33" s="1"/>
      <c r="Z33" s="1"/>
      <c r="AA33" s="1"/>
      <c r="AB33" s="1"/>
      <c r="AC33" s="1"/>
      <c r="AD33" s="84" t="str">
        <f t="shared" si="9"/>
        <v/>
      </c>
      <c r="AE33" s="84" t="str">
        <f t="shared" si="10"/>
        <v/>
      </c>
      <c r="AF33" s="84">
        <f t="shared" si="11"/>
        <v>125.99966999999999</v>
      </c>
      <c r="AG33" s="1"/>
      <c r="AH33" s="1"/>
      <c r="AI33" s="1"/>
      <c r="AJ33" s="84" t="str">
        <f t="shared" si="12"/>
        <v/>
      </c>
      <c r="AK33" s="84" t="str">
        <f t="shared" si="13"/>
        <v/>
      </c>
      <c r="AL33" s="84">
        <f t="shared" si="14"/>
        <v>125.99966999999999</v>
      </c>
      <c r="AM33" s="1"/>
      <c r="AN33" s="1"/>
      <c r="AO33" s="1"/>
      <c r="AP33" s="84" t="str">
        <f t="shared" si="15"/>
        <v/>
      </c>
      <c r="AQ33" s="84" t="str">
        <f t="shared" si="16"/>
        <v/>
      </c>
      <c r="AR33" s="84">
        <f t="shared" si="17"/>
        <v>125.99966999999999</v>
      </c>
    </row>
    <row r="34" spans="1:44" ht="19" customHeight="1" x14ac:dyDescent="0.3">
      <c r="A34" s="75" t="s">
        <v>68</v>
      </c>
      <c r="B34" s="75"/>
      <c r="C34" s="75"/>
      <c r="D34" s="89">
        <f>持有情况!AV40-ROW()*0.00001</f>
        <v>74.999660000000006</v>
      </c>
      <c r="E34" s="90">
        <v>0</v>
      </c>
      <c r="F34" s="89">
        <v>1</v>
      </c>
      <c r="G34" s="89">
        <v>2</v>
      </c>
      <c r="H34" s="90">
        <v>0</v>
      </c>
      <c r="I34" s="1"/>
      <c r="J34" s="89">
        <f>INT(45+10*路线!B31+13*路线!B21+30)-ROW()*0.00001</f>
        <v>74.999660000000006</v>
      </c>
      <c r="K34" s="1"/>
      <c r="L34" s="84" t="str">
        <f t="shared" ref="L34:L65" si="18">IF(AND(OR(E34=1,E34=0),G34=1),D34,"")</f>
        <v/>
      </c>
      <c r="M34" s="84" t="str">
        <f t="shared" ref="M34:M65" si="19">IF(AND(OR(E34=2,E34=0),G34=1),D34,"")</f>
        <v/>
      </c>
      <c r="N34" s="84" t="str">
        <f t="shared" ref="N34:N65" si="20">IF(AND(OR(E34=3,E34=0),G34=1),D34,"")</f>
        <v/>
      </c>
      <c r="O34" s="84">
        <f t="shared" ref="O34:O65" si="21">IF(AND(OR(E34=1,E34=0),G34=2),D34,"")</f>
        <v>74.999660000000006</v>
      </c>
      <c r="P34" s="84">
        <f t="shared" ref="P34:P65" si="22">IF(AND(OR(E34=2,E34=0),G34=2),D34,"")</f>
        <v>74.999660000000006</v>
      </c>
      <c r="Q34" s="84">
        <f t="shared" ref="Q34:Q65" si="23">IF(AND(OR(E34=3,E34=0),G34=2),D34,"")</f>
        <v>74.999660000000006</v>
      </c>
      <c r="R34" s="84" t="str">
        <f t="shared" ref="R34:R65" si="24">IF(AND(OR(E34=1,E34=0),G34=3),D34,"")</f>
        <v/>
      </c>
      <c r="S34" s="84" t="str">
        <f t="shared" ref="S34:S65" si="25">IF(AND(OR(E34=2,E34=0),G34=3),D34,"")</f>
        <v/>
      </c>
      <c r="T34" s="84" t="str">
        <f t="shared" ref="T34:T65" si="26">IF(AND(OR(E34=3,E34=0),G34=3),D34,"")</f>
        <v/>
      </c>
      <c r="U34" s="1"/>
      <c r="V34" s="1"/>
      <c r="W34" s="1"/>
      <c r="X34" s="1"/>
      <c r="Y34" s="1"/>
      <c r="Z34" s="1"/>
      <c r="AA34" s="1"/>
      <c r="AB34" s="1"/>
      <c r="AC34" s="1"/>
      <c r="AD34" s="84" t="str">
        <f t="shared" ref="AD34:AD65" si="27">IF(AND(OR(E34=1,E34=0),G34=1),J34,"")</f>
        <v/>
      </c>
      <c r="AE34" s="84">
        <f t="shared" ref="AE34:AE65" si="28">IF(AND(OR(E34=1,E34=0),G34=2),J34,"")</f>
        <v>74.999660000000006</v>
      </c>
      <c r="AF34" s="84" t="str">
        <f t="shared" ref="AF34:AF65" si="29">IF(AND(OR(E34=1,E34=0),G34=3),J34,"")</f>
        <v/>
      </c>
      <c r="AG34" s="1"/>
      <c r="AH34" s="1"/>
      <c r="AI34" s="1"/>
      <c r="AJ34" s="84" t="str">
        <f t="shared" ref="AJ34:AJ65" si="30">IF(AND(OR(E34=2,E34=0),G34=1),J34,"")</f>
        <v/>
      </c>
      <c r="AK34" s="84">
        <f t="shared" ref="AK34:AK65" si="31">IF(AND(OR(E34=2,E34=0),G34=2),J34,"")</f>
        <v>74.999660000000006</v>
      </c>
      <c r="AL34" s="84" t="str">
        <f t="shared" ref="AL34:AL65" si="32">IF(AND(OR(E34=2,E34=0),G34=3),J34,"")</f>
        <v/>
      </c>
      <c r="AM34" s="1"/>
      <c r="AN34" s="1"/>
      <c r="AO34" s="1"/>
      <c r="AP34" s="84" t="str">
        <f t="shared" ref="AP34:AP65" si="33">IF(AND(OR(E34=3,E34=0),G34=1),J34,"")</f>
        <v/>
      </c>
      <c r="AQ34" s="84">
        <f t="shared" ref="AQ34:AQ65" si="34">IF(AND(OR(E34=3,E34=0),G34=2),J34,"")</f>
        <v>74.999660000000006</v>
      </c>
      <c r="AR34" s="84" t="str">
        <f t="shared" ref="AR34:AR65" si="35">IF(AND(OR(E34=3,E34=0),G34=3),J34,"")</f>
        <v/>
      </c>
    </row>
    <row r="35" spans="1:44" ht="19" customHeight="1" x14ac:dyDescent="0.3">
      <c r="A35" s="67" t="s">
        <v>76</v>
      </c>
      <c r="B35" s="67"/>
      <c r="C35" s="67"/>
      <c r="D35" s="89">
        <f>持有情况!BF46-ROW()*0.00001</f>
        <v>107.99965</v>
      </c>
      <c r="E35" s="89">
        <v>2</v>
      </c>
      <c r="F35" s="90">
        <v>0</v>
      </c>
      <c r="G35" s="89">
        <v>3</v>
      </c>
      <c r="H35" s="90">
        <v>0</v>
      </c>
      <c r="I35" s="1"/>
      <c r="J35" s="89">
        <f>INT(45+10*路线!B31+11*路线!B34+13*路线!B21+30)-ROW()*0.00001</f>
        <v>107.99965</v>
      </c>
      <c r="K35" s="1"/>
      <c r="L35" s="84" t="str">
        <f t="shared" si="18"/>
        <v/>
      </c>
      <c r="M35" s="84" t="str">
        <f t="shared" si="19"/>
        <v/>
      </c>
      <c r="N35" s="84" t="str">
        <f t="shared" si="20"/>
        <v/>
      </c>
      <c r="O35" s="84" t="str">
        <f t="shared" si="21"/>
        <v/>
      </c>
      <c r="P35" s="84" t="str">
        <f t="shared" si="22"/>
        <v/>
      </c>
      <c r="Q35" s="84" t="str">
        <f t="shared" si="23"/>
        <v/>
      </c>
      <c r="R35" s="84" t="str">
        <f t="shared" si="24"/>
        <v/>
      </c>
      <c r="S35" s="84">
        <f t="shared" si="25"/>
        <v>107.99965</v>
      </c>
      <c r="T35" s="84" t="str">
        <f t="shared" si="26"/>
        <v/>
      </c>
      <c r="U35" s="1"/>
      <c r="V35" s="1"/>
      <c r="W35" s="1"/>
      <c r="X35" s="1"/>
      <c r="Y35" s="1"/>
      <c r="Z35" s="1"/>
      <c r="AA35" s="1"/>
      <c r="AB35" s="1"/>
      <c r="AC35" s="1"/>
      <c r="AD35" s="84" t="str">
        <f t="shared" si="27"/>
        <v/>
      </c>
      <c r="AE35" s="84" t="str">
        <f t="shared" si="28"/>
        <v/>
      </c>
      <c r="AF35" s="84" t="str">
        <f t="shared" si="29"/>
        <v/>
      </c>
      <c r="AG35" s="1"/>
      <c r="AH35" s="1"/>
      <c r="AI35" s="1"/>
      <c r="AJ35" s="84" t="str">
        <f t="shared" si="30"/>
        <v/>
      </c>
      <c r="AK35" s="84" t="str">
        <f t="shared" si="31"/>
        <v/>
      </c>
      <c r="AL35" s="84">
        <f t="shared" si="32"/>
        <v>107.99965</v>
      </c>
      <c r="AM35" s="1"/>
      <c r="AN35" s="1"/>
      <c r="AO35" s="1"/>
      <c r="AP35" s="84" t="str">
        <f t="shared" si="33"/>
        <v/>
      </c>
      <c r="AQ35" s="84" t="str">
        <f t="shared" si="34"/>
        <v/>
      </c>
      <c r="AR35" s="84" t="str">
        <f t="shared" si="35"/>
        <v/>
      </c>
    </row>
    <row r="36" spans="1:44" ht="19" customHeight="1" x14ac:dyDescent="0.3">
      <c r="A36" s="67" t="s">
        <v>69</v>
      </c>
      <c r="B36" s="67"/>
      <c r="C36" s="67"/>
      <c r="D36" s="89">
        <f>持有情况!BF40-ROW()*0.00001</f>
        <v>94.999639999999999</v>
      </c>
      <c r="E36" s="89">
        <v>1</v>
      </c>
      <c r="F36" s="90">
        <v>0</v>
      </c>
      <c r="G36" s="89">
        <v>3</v>
      </c>
      <c r="H36" s="89">
        <v>1</v>
      </c>
      <c r="I36" s="84" t="s">
        <v>326</v>
      </c>
      <c r="J36" s="89">
        <f>IF(路线!C6="计算",INT(45+10*路线!B31+4*路线!B20+30+20)-ROW()*0.00001,INT(45+10*路线!B31+4*路线!B20+30)-ROW()*0.00001)</f>
        <v>94.999639999999999</v>
      </c>
      <c r="K36" s="1"/>
      <c r="L36" s="84" t="str">
        <f t="shared" si="18"/>
        <v/>
      </c>
      <c r="M36" s="84" t="str">
        <f t="shared" si="19"/>
        <v/>
      </c>
      <c r="N36" s="84" t="str">
        <f t="shared" si="20"/>
        <v/>
      </c>
      <c r="O36" s="84" t="str">
        <f t="shared" si="21"/>
        <v/>
      </c>
      <c r="P36" s="84" t="str">
        <f t="shared" si="22"/>
        <v/>
      </c>
      <c r="Q36" s="84" t="str">
        <f t="shared" si="23"/>
        <v/>
      </c>
      <c r="R36" s="84">
        <f t="shared" si="24"/>
        <v>94.999639999999999</v>
      </c>
      <c r="S36" s="84" t="str">
        <f t="shared" si="25"/>
        <v/>
      </c>
      <c r="T36" s="84" t="str">
        <f t="shared" si="26"/>
        <v/>
      </c>
      <c r="U36" s="1"/>
      <c r="V36" s="1"/>
      <c r="W36" s="1"/>
      <c r="X36" s="1"/>
      <c r="Y36" s="1"/>
      <c r="Z36" s="1"/>
      <c r="AA36" s="1"/>
      <c r="AB36" s="1"/>
      <c r="AC36" s="1"/>
      <c r="AD36" s="84" t="str">
        <f t="shared" si="27"/>
        <v/>
      </c>
      <c r="AE36" s="84" t="str">
        <f t="shared" si="28"/>
        <v/>
      </c>
      <c r="AF36" s="84">
        <f t="shared" si="29"/>
        <v>94.999639999999999</v>
      </c>
      <c r="AG36" s="1"/>
      <c r="AH36" s="1"/>
      <c r="AI36" s="1"/>
      <c r="AJ36" s="84" t="str">
        <f t="shared" si="30"/>
        <v/>
      </c>
      <c r="AK36" s="84" t="str">
        <f t="shared" si="31"/>
        <v/>
      </c>
      <c r="AL36" s="84" t="str">
        <f t="shared" si="32"/>
        <v/>
      </c>
      <c r="AM36" s="1"/>
      <c r="AN36" s="1"/>
      <c r="AO36" s="1"/>
      <c r="AP36" s="84" t="str">
        <f t="shared" si="33"/>
        <v/>
      </c>
      <c r="AQ36" s="84" t="str">
        <f t="shared" si="34"/>
        <v/>
      </c>
      <c r="AR36" s="84" t="str">
        <f t="shared" si="35"/>
        <v/>
      </c>
    </row>
    <row r="37" spans="1:44" ht="19" customHeight="1" x14ac:dyDescent="0.3">
      <c r="A37" s="57" t="s">
        <v>58</v>
      </c>
      <c r="B37" s="57"/>
      <c r="C37" s="57"/>
      <c r="D37" s="89">
        <f>持有情况!AL34-ROW()*0.00001</f>
        <v>128.99963</v>
      </c>
      <c r="E37" s="89">
        <v>2</v>
      </c>
      <c r="F37" s="90">
        <v>0</v>
      </c>
      <c r="G37" s="89">
        <v>1</v>
      </c>
      <c r="H37" s="89">
        <v>1</v>
      </c>
      <c r="I37" s="1"/>
      <c r="J37" s="89">
        <f>IF(路线!C6="计算",INT(45+10*路线!B31+17*路线!B32+30+20)-ROW()*0.00001,INT(45+10*路线!B31+17*路线!B32+30)-ROW()*0.00001)</f>
        <v>128.99963</v>
      </c>
      <c r="K37" s="1"/>
      <c r="L37" s="84" t="str">
        <f t="shared" si="18"/>
        <v/>
      </c>
      <c r="M37" s="84">
        <f t="shared" si="19"/>
        <v>128.99963</v>
      </c>
      <c r="N37" s="84" t="str">
        <f t="shared" si="20"/>
        <v/>
      </c>
      <c r="O37" s="84" t="str">
        <f t="shared" si="21"/>
        <v/>
      </c>
      <c r="P37" s="84" t="str">
        <f t="shared" si="22"/>
        <v/>
      </c>
      <c r="Q37" s="84" t="str">
        <f t="shared" si="23"/>
        <v/>
      </c>
      <c r="R37" s="84" t="str">
        <f t="shared" si="24"/>
        <v/>
      </c>
      <c r="S37" s="84" t="str">
        <f t="shared" si="25"/>
        <v/>
      </c>
      <c r="T37" s="84" t="str">
        <f t="shared" si="26"/>
        <v/>
      </c>
      <c r="U37" s="1"/>
      <c r="V37" s="1"/>
      <c r="W37" s="1"/>
      <c r="X37" s="1"/>
      <c r="Y37" s="1"/>
      <c r="Z37" s="1"/>
      <c r="AA37" s="1"/>
      <c r="AB37" s="1"/>
      <c r="AC37" s="1"/>
      <c r="AD37" s="84" t="str">
        <f t="shared" si="27"/>
        <v/>
      </c>
      <c r="AE37" s="84" t="str">
        <f t="shared" si="28"/>
        <v/>
      </c>
      <c r="AF37" s="84" t="str">
        <f t="shared" si="29"/>
        <v/>
      </c>
      <c r="AG37" s="1"/>
      <c r="AH37" s="1"/>
      <c r="AI37" s="1"/>
      <c r="AJ37" s="84">
        <f t="shared" si="30"/>
        <v>128.99963</v>
      </c>
      <c r="AK37" s="84" t="str">
        <f t="shared" si="31"/>
        <v/>
      </c>
      <c r="AL37" s="84" t="str">
        <f t="shared" si="32"/>
        <v/>
      </c>
      <c r="AM37" s="1"/>
      <c r="AN37" s="1"/>
      <c r="AO37" s="1"/>
      <c r="AP37" s="84" t="str">
        <f t="shared" si="33"/>
        <v/>
      </c>
      <c r="AQ37" s="84" t="str">
        <f t="shared" si="34"/>
        <v/>
      </c>
      <c r="AR37" s="84" t="str">
        <f t="shared" si="35"/>
        <v/>
      </c>
    </row>
    <row r="38" spans="1:44" ht="19" customHeight="1" x14ac:dyDescent="0.3">
      <c r="A38" s="67" t="s">
        <v>96</v>
      </c>
      <c r="B38" s="67"/>
      <c r="C38" s="67"/>
      <c r="D38" s="89">
        <f>持有情况!BF64-ROW()*0.00001</f>
        <v>74.999619999999993</v>
      </c>
      <c r="E38" s="90">
        <v>0</v>
      </c>
      <c r="F38" s="89">
        <v>1</v>
      </c>
      <c r="G38" s="89">
        <v>3</v>
      </c>
      <c r="H38" s="90">
        <v>0</v>
      </c>
      <c r="I38" s="1"/>
      <c r="J38" s="89">
        <f>INT(45+10*路线!B31+30)-ROW()*0.00001</f>
        <v>74.999619999999993</v>
      </c>
      <c r="K38" s="1"/>
      <c r="L38" s="84" t="str">
        <f t="shared" si="18"/>
        <v/>
      </c>
      <c r="M38" s="84" t="str">
        <f t="shared" si="19"/>
        <v/>
      </c>
      <c r="N38" s="84" t="str">
        <f t="shared" si="20"/>
        <v/>
      </c>
      <c r="O38" s="84" t="str">
        <f t="shared" si="21"/>
        <v/>
      </c>
      <c r="P38" s="84" t="str">
        <f t="shared" si="22"/>
        <v/>
      </c>
      <c r="Q38" s="84" t="str">
        <f t="shared" si="23"/>
        <v/>
      </c>
      <c r="R38" s="84">
        <f t="shared" si="24"/>
        <v>74.999619999999993</v>
      </c>
      <c r="S38" s="84">
        <f t="shared" si="25"/>
        <v>74.999619999999993</v>
      </c>
      <c r="T38" s="84">
        <f t="shared" si="26"/>
        <v>74.999619999999993</v>
      </c>
      <c r="U38" s="1"/>
      <c r="V38" s="1"/>
      <c r="W38" s="1"/>
      <c r="X38" s="1"/>
      <c r="Y38" s="1"/>
      <c r="Z38" s="1"/>
      <c r="AA38" s="1"/>
      <c r="AB38" s="1"/>
      <c r="AC38" s="1"/>
      <c r="AD38" s="84" t="str">
        <f t="shared" si="27"/>
        <v/>
      </c>
      <c r="AE38" s="84" t="str">
        <f t="shared" si="28"/>
        <v/>
      </c>
      <c r="AF38" s="84">
        <f t="shared" si="29"/>
        <v>74.999619999999993</v>
      </c>
      <c r="AG38" s="1"/>
      <c r="AH38" s="1"/>
      <c r="AI38" s="1"/>
      <c r="AJ38" s="84" t="str">
        <f t="shared" si="30"/>
        <v/>
      </c>
      <c r="AK38" s="84" t="str">
        <f t="shared" si="31"/>
        <v/>
      </c>
      <c r="AL38" s="84">
        <f t="shared" si="32"/>
        <v>74.999619999999993</v>
      </c>
      <c r="AM38" s="1"/>
      <c r="AN38" s="1"/>
      <c r="AO38" s="1"/>
      <c r="AP38" s="84" t="str">
        <f t="shared" si="33"/>
        <v/>
      </c>
      <c r="AQ38" s="84" t="str">
        <f t="shared" si="34"/>
        <v/>
      </c>
      <c r="AR38" s="84">
        <f t="shared" si="35"/>
        <v>74.999619999999993</v>
      </c>
    </row>
    <row r="39" spans="1:44" ht="19" customHeight="1" x14ac:dyDescent="0.3">
      <c r="A39" s="75" t="s">
        <v>134</v>
      </c>
      <c r="B39" s="75"/>
      <c r="C39" s="75"/>
      <c r="D39" s="89">
        <f>持有情况!R100-ROW()*0.00001</f>
        <v>135.99960999999999</v>
      </c>
      <c r="E39" s="90">
        <v>0</v>
      </c>
      <c r="F39" s="89">
        <v>1</v>
      </c>
      <c r="G39" s="89">
        <v>2</v>
      </c>
      <c r="H39" s="89">
        <v>1</v>
      </c>
      <c r="I39" s="84" t="s">
        <v>296</v>
      </c>
      <c r="J39" s="89">
        <f>INT(60+17*路线!B21+3*路线!B24+40)-ROW()*0.00001</f>
        <v>135.99960999999999</v>
      </c>
      <c r="K39" s="1"/>
      <c r="L39" s="84" t="str">
        <f t="shared" si="18"/>
        <v/>
      </c>
      <c r="M39" s="84" t="str">
        <f t="shared" si="19"/>
        <v/>
      </c>
      <c r="N39" s="84" t="str">
        <f t="shared" si="20"/>
        <v/>
      </c>
      <c r="O39" s="84">
        <f t="shared" si="21"/>
        <v>135.99960999999999</v>
      </c>
      <c r="P39" s="84">
        <f t="shared" si="22"/>
        <v>135.99960999999999</v>
      </c>
      <c r="Q39" s="84">
        <f t="shared" si="23"/>
        <v>135.99960999999999</v>
      </c>
      <c r="R39" s="84" t="str">
        <f t="shared" si="24"/>
        <v/>
      </c>
      <c r="S39" s="84" t="str">
        <f t="shared" si="25"/>
        <v/>
      </c>
      <c r="T39" s="84" t="str">
        <f t="shared" si="26"/>
        <v/>
      </c>
      <c r="U39" s="1"/>
      <c r="V39" s="1"/>
      <c r="W39" s="1"/>
      <c r="X39" s="1"/>
      <c r="Y39" s="1"/>
      <c r="Z39" s="1"/>
      <c r="AA39" s="1"/>
      <c r="AB39" s="1"/>
      <c r="AC39" s="1"/>
      <c r="AD39" s="84" t="str">
        <f t="shared" si="27"/>
        <v/>
      </c>
      <c r="AE39" s="84">
        <f t="shared" si="28"/>
        <v>135.99960999999999</v>
      </c>
      <c r="AF39" s="84" t="str">
        <f t="shared" si="29"/>
        <v/>
      </c>
      <c r="AG39" s="1"/>
      <c r="AH39" s="1"/>
      <c r="AI39" s="1"/>
      <c r="AJ39" s="84" t="str">
        <f t="shared" si="30"/>
        <v/>
      </c>
      <c r="AK39" s="84">
        <f t="shared" si="31"/>
        <v>135.99960999999999</v>
      </c>
      <c r="AL39" s="84" t="str">
        <f t="shared" si="32"/>
        <v/>
      </c>
      <c r="AM39" s="1"/>
      <c r="AN39" s="1"/>
      <c r="AO39" s="1"/>
      <c r="AP39" s="84" t="str">
        <f t="shared" si="33"/>
        <v/>
      </c>
      <c r="AQ39" s="84">
        <f t="shared" si="34"/>
        <v>135.99960999999999</v>
      </c>
      <c r="AR39" s="84" t="str">
        <f t="shared" si="35"/>
        <v/>
      </c>
    </row>
    <row r="40" spans="1:44" ht="19" customHeight="1" x14ac:dyDescent="0.3">
      <c r="A40" s="67" t="s">
        <v>32</v>
      </c>
      <c r="B40" s="67"/>
      <c r="C40" s="67"/>
      <c r="D40" s="89">
        <f>持有情况!AB16-ROW()*0.00001</f>
        <v>135.99959999999999</v>
      </c>
      <c r="E40" s="90">
        <v>0</v>
      </c>
      <c r="F40" s="89">
        <v>1</v>
      </c>
      <c r="G40" s="89">
        <v>3</v>
      </c>
      <c r="H40" s="89">
        <v>1</v>
      </c>
      <c r="I40" s="84" t="s">
        <v>297</v>
      </c>
      <c r="J40" s="89">
        <f>INT(60+17*路线!B21+3*路线!B24+40)-ROW()*0.00001</f>
        <v>135.99959999999999</v>
      </c>
      <c r="K40" s="1"/>
      <c r="L40" s="84" t="str">
        <f t="shared" si="18"/>
        <v/>
      </c>
      <c r="M40" s="84" t="str">
        <f t="shared" si="19"/>
        <v/>
      </c>
      <c r="N40" s="84" t="str">
        <f t="shared" si="20"/>
        <v/>
      </c>
      <c r="O40" s="84" t="str">
        <f t="shared" si="21"/>
        <v/>
      </c>
      <c r="P40" s="84" t="str">
        <f t="shared" si="22"/>
        <v/>
      </c>
      <c r="Q40" s="84" t="str">
        <f t="shared" si="23"/>
        <v/>
      </c>
      <c r="R40" s="84">
        <f t="shared" si="24"/>
        <v>135.99959999999999</v>
      </c>
      <c r="S40" s="84">
        <f t="shared" si="25"/>
        <v>135.99959999999999</v>
      </c>
      <c r="T40" s="84">
        <f t="shared" si="26"/>
        <v>135.99959999999999</v>
      </c>
      <c r="U40" s="1"/>
      <c r="V40" s="1"/>
      <c r="W40" s="1"/>
      <c r="X40" s="1"/>
      <c r="Y40" s="1"/>
      <c r="Z40" s="1"/>
      <c r="AA40" s="1"/>
      <c r="AB40" s="1"/>
      <c r="AC40" s="1"/>
      <c r="AD40" s="84" t="str">
        <f t="shared" si="27"/>
        <v/>
      </c>
      <c r="AE40" s="84" t="str">
        <f t="shared" si="28"/>
        <v/>
      </c>
      <c r="AF40" s="84">
        <f t="shared" si="29"/>
        <v>135.99959999999999</v>
      </c>
      <c r="AG40" s="1"/>
      <c r="AH40" s="1"/>
      <c r="AI40" s="1"/>
      <c r="AJ40" s="84" t="str">
        <f t="shared" si="30"/>
        <v/>
      </c>
      <c r="AK40" s="84" t="str">
        <f t="shared" si="31"/>
        <v/>
      </c>
      <c r="AL40" s="84">
        <f t="shared" si="32"/>
        <v>135.99959999999999</v>
      </c>
      <c r="AM40" s="1"/>
      <c r="AN40" s="1"/>
      <c r="AO40" s="1"/>
      <c r="AP40" s="84" t="str">
        <f t="shared" si="33"/>
        <v/>
      </c>
      <c r="AQ40" s="84" t="str">
        <f t="shared" si="34"/>
        <v/>
      </c>
      <c r="AR40" s="84">
        <f t="shared" si="35"/>
        <v>135.99959999999999</v>
      </c>
    </row>
    <row r="41" spans="1:44" ht="19" customHeight="1" x14ac:dyDescent="0.3">
      <c r="A41" s="67" t="s">
        <v>72</v>
      </c>
      <c r="B41" s="67"/>
      <c r="C41" s="67"/>
      <c r="D41" s="89">
        <f>持有情况!AB46-ROW()*0.00001</f>
        <v>155.99959000000001</v>
      </c>
      <c r="E41" s="89">
        <v>2</v>
      </c>
      <c r="F41" s="89">
        <v>1</v>
      </c>
      <c r="G41" s="89">
        <v>3</v>
      </c>
      <c r="H41" s="89">
        <v>1</v>
      </c>
      <c r="I41" s="84" t="s">
        <v>322</v>
      </c>
      <c r="J41" s="89">
        <f>IF(路线!C6="计算",INT(60+6*路线!B20+3*路线!B24+40+20)-ROW()*0.00001,INT(60+6*路线!B20+3*路线!B24+40)-ROW()*0.00001)</f>
        <v>155.99959000000001</v>
      </c>
      <c r="K41" s="1"/>
      <c r="L41" s="84" t="str">
        <f t="shared" si="18"/>
        <v/>
      </c>
      <c r="M41" s="84" t="str">
        <f t="shared" si="19"/>
        <v/>
      </c>
      <c r="N41" s="84" t="str">
        <f t="shared" si="20"/>
        <v/>
      </c>
      <c r="O41" s="84" t="str">
        <f t="shared" si="21"/>
        <v/>
      </c>
      <c r="P41" s="84" t="str">
        <f t="shared" si="22"/>
        <v/>
      </c>
      <c r="Q41" s="84" t="str">
        <f t="shared" si="23"/>
        <v/>
      </c>
      <c r="R41" s="84" t="str">
        <f t="shared" si="24"/>
        <v/>
      </c>
      <c r="S41" s="84">
        <f t="shared" si="25"/>
        <v>155.99959000000001</v>
      </c>
      <c r="T41" s="84" t="str">
        <f t="shared" si="26"/>
        <v/>
      </c>
      <c r="U41" s="1"/>
      <c r="V41" s="1"/>
      <c r="W41" s="1"/>
      <c r="X41" s="1"/>
      <c r="Y41" s="1"/>
      <c r="Z41" s="1"/>
      <c r="AA41" s="1"/>
      <c r="AB41" s="1"/>
      <c r="AC41" s="1"/>
      <c r="AD41" s="84" t="str">
        <f t="shared" si="27"/>
        <v/>
      </c>
      <c r="AE41" s="84" t="str">
        <f t="shared" si="28"/>
        <v/>
      </c>
      <c r="AF41" s="84" t="str">
        <f t="shared" si="29"/>
        <v/>
      </c>
      <c r="AG41" s="1"/>
      <c r="AH41" s="1"/>
      <c r="AI41" s="1"/>
      <c r="AJ41" s="84" t="str">
        <f t="shared" si="30"/>
        <v/>
      </c>
      <c r="AK41" s="84" t="str">
        <f t="shared" si="31"/>
        <v/>
      </c>
      <c r="AL41" s="84">
        <f t="shared" si="32"/>
        <v>155.99959000000001</v>
      </c>
      <c r="AM41" s="1"/>
      <c r="AN41" s="1"/>
      <c r="AO41" s="1"/>
      <c r="AP41" s="84" t="str">
        <f t="shared" si="33"/>
        <v/>
      </c>
      <c r="AQ41" s="84" t="str">
        <f t="shared" si="34"/>
        <v/>
      </c>
      <c r="AR41" s="84" t="str">
        <f t="shared" si="35"/>
        <v/>
      </c>
    </row>
    <row r="42" spans="1:44" ht="19" customHeight="1" x14ac:dyDescent="0.3">
      <c r="A42" s="75" t="s">
        <v>64</v>
      </c>
      <c r="B42" s="75"/>
      <c r="C42" s="75"/>
      <c r="D42" s="89">
        <f>持有情况!R40-ROW()*0.00001</f>
        <v>121.99957999999999</v>
      </c>
      <c r="E42" s="89">
        <v>2</v>
      </c>
      <c r="F42" s="89">
        <v>1</v>
      </c>
      <c r="G42" s="89">
        <v>2</v>
      </c>
      <c r="H42" s="89">
        <v>1</v>
      </c>
      <c r="I42" s="84" t="s">
        <v>300</v>
      </c>
      <c r="J42" s="89">
        <f>INT(60+17*路线!B21+22+40)-ROW()*0.00001</f>
        <v>121.99957999999999</v>
      </c>
      <c r="K42" s="1"/>
      <c r="L42" s="84" t="str">
        <f t="shared" si="18"/>
        <v/>
      </c>
      <c r="M42" s="84" t="str">
        <f t="shared" si="19"/>
        <v/>
      </c>
      <c r="N42" s="84" t="str">
        <f t="shared" si="20"/>
        <v/>
      </c>
      <c r="O42" s="84" t="str">
        <f t="shared" si="21"/>
        <v/>
      </c>
      <c r="P42" s="84">
        <f t="shared" si="22"/>
        <v>121.99957999999999</v>
      </c>
      <c r="Q42" s="84" t="str">
        <f t="shared" si="23"/>
        <v/>
      </c>
      <c r="R42" s="84" t="str">
        <f t="shared" si="24"/>
        <v/>
      </c>
      <c r="S42" s="84" t="str">
        <f t="shared" si="25"/>
        <v/>
      </c>
      <c r="T42" s="84" t="str">
        <f t="shared" si="26"/>
        <v/>
      </c>
      <c r="U42" s="1"/>
      <c r="V42" s="1"/>
      <c r="W42" s="1"/>
      <c r="X42" s="1"/>
      <c r="Y42" s="1"/>
      <c r="Z42" s="1"/>
      <c r="AA42" s="1"/>
      <c r="AB42" s="1"/>
      <c r="AC42" s="1"/>
      <c r="AD42" s="84" t="str">
        <f t="shared" si="27"/>
        <v/>
      </c>
      <c r="AE42" s="84" t="str">
        <f t="shared" si="28"/>
        <v/>
      </c>
      <c r="AF42" s="84" t="str">
        <f t="shared" si="29"/>
        <v/>
      </c>
      <c r="AG42" s="1"/>
      <c r="AH42" s="1"/>
      <c r="AI42" s="1"/>
      <c r="AJ42" s="84" t="str">
        <f t="shared" si="30"/>
        <v/>
      </c>
      <c r="AK42" s="84">
        <f t="shared" si="31"/>
        <v>121.99957999999999</v>
      </c>
      <c r="AL42" s="84" t="str">
        <f t="shared" si="32"/>
        <v/>
      </c>
      <c r="AM42" s="1"/>
      <c r="AN42" s="1"/>
      <c r="AO42" s="1"/>
      <c r="AP42" s="84" t="str">
        <f t="shared" si="33"/>
        <v/>
      </c>
      <c r="AQ42" s="84" t="str">
        <f t="shared" si="34"/>
        <v/>
      </c>
      <c r="AR42" s="84" t="str">
        <f t="shared" si="35"/>
        <v/>
      </c>
    </row>
    <row r="43" spans="1:44" ht="19" customHeight="1" x14ac:dyDescent="0.3">
      <c r="A43" s="75" t="s">
        <v>42</v>
      </c>
      <c r="B43" s="75"/>
      <c r="C43" s="75"/>
      <c r="D43" s="89">
        <f>持有情况!R22-ROW()*0.00001</f>
        <v>135.99957000000001</v>
      </c>
      <c r="E43" s="90">
        <v>0</v>
      </c>
      <c r="F43" s="89">
        <v>1</v>
      </c>
      <c r="G43" s="89">
        <v>2</v>
      </c>
      <c r="H43" s="89">
        <v>1</v>
      </c>
      <c r="I43" s="84" t="s">
        <v>301</v>
      </c>
      <c r="J43" s="89">
        <f>IF(路线!C6="计算",INT(60+17*路线!B21+4*(路线!B28+路线!B29)+40+20)-ROW()*0.00001,INT(60+17*路线!B21+4*(路线!B28+路线!B29)+40)-ROW()*0.00001)</f>
        <v>135.99957000000001</v>
      </c>
      <c r="K43" s="1"/>
      <c r="L43" s="84" t="str">
        <f t="shared" si="18"/>
        <v/>
      </c>
      <c r="M43" s="84" t="str">
        <f t="shared" si="19"/>
        <v/>
      </c>
      <c r="N43" s="84" t="str">
        <f t="shared" si="20"/>
        <v/>
      </c>
      <c r="O43" s="84">
        <f t="shared" si="21"/>
        <v>135.99957000000001</v>
      </c>
      <c r="P43" s="84">
        <f t="shared" si="22"/>
        <v>135.99957000000001</v>
      </c>
      <c r="Q43" s="84">
        <f t="shared" si="23"/>
        <v>135.99957000000001</v>
      </c>
      <c r="R43" s="84" t="str">
        <f t="shared" si="24"/>
        <v/>
      </c>
      <c r="S43" s="84" t="str">
        <f t="shared" si="25"/>
        <v/>
      </c>
      <c r="T43" s="84" t="str">
        <f t="shared" si="26"/>
        <v/>
      </c>
      <c r="U43" s="1"/>
      <c r="V43" s="1"/>
      <c r="W43" s="1"/>
      <c r="X43" s="1"/>
      <c r="Y43" s="1"/>
      <c r="Z43" s="1"/>
      <c r="AA43" s="1"/>
      <c r="AB43" s="1"/>
      <c r="AC43" s="1"/>
      <c r="AD43" s="84" t="str">
        <f t="shared" si="27"/>
        <v/>
      </c>
      <c r="AE43" s="84">
        <f t="shared" si="28"/>
        <v>135.99957000000001</v>
      </c>
      <c r="AF43" s="84" t="str">
        <f t="shared" si="29"/>
        <v/>
      </c>
      <c r="AG43" s="1"/>
      <c r="AH43" s="1"/>
      <c r="AI43" s="1"/>
      <c r="AJ43" s="84" t="str">
        <f t="shared" si="30"/>
        <v/>
      </c>
      <c r="AK43" s="84">
        <f t="shared" si="31"/>
        <v>135.99957000000001</v>
      </c>
      <c r="AL43" s="84" t="str">
        <f t="shared" si="32"/>
        <v/>
      </c>
      <c r="AM43" s="1"/>
      <c r="AN43" s="1"/>
      <c r="AO43" s="1"/>
      <c r="AP43" s="84" t="str">
        <f t="shared" si="33"/>
        <v/>
      </c>
      <c r="AQ43" s="84">
        <f t="shared" si="34"/>
        <v>135.99957000000001</v>
      </c>
      <c r="AR43" s="84" t="str">
        <f t="shared" si="35"/>
        <v/>
      </c>
    </row>
    <row r="44" spans="1:44" ht="19" customHeight="1" x14ac:dyDescent="0.3">
      <c r="A44" s="57" t="s">
        <v>55</v>
      </c>
      <c r="B44" s="57"/>
      <c r="C44" s="57"/>
      <c r="D44" s="89">
        <f>持有情况!H34-ROW()*0.00001</f>
        <v>115.99956</v>
      </c>
      <c r="E44" s="90">
        <v>0</v>
      </c>
      <c r="F44" s="89">
        <v>1</v>
      </c>
      <c r="G44" s="89">
        <v>1</v>
      </c>
      <c r="H44" s="89">
        <v>1</v>
      </c>
      <c r="I44" s="84" t="s">
        <v>323</v>
      </c>
      <c r="J44" s="89">
        <f>INT(60+6*路线!B20+4*(路线!B28+路线!B29)+40)-ROW()*0.00001</f>
        <v>115.99956</v>
      </c>
      <c r="K44" s="1"/>
      <c r="L44" s="84">
        <f t="shared" si="18"/>
        <v>115.99956</v>
      </c>
      <c r="M44" s="84">
        <f t="shared" si="19"/>
        <v>115.99956</v>
      </c>
      <c r="N44" s="84">
        <f t="shared" si="20"/>
        <v>115.99956</v>
      </c>
      <c r="O44" s="84" t="str">
        <f t="shared" si="21"/>
        <v/>
      </c>
      <c r="P44" s="84" t="str">
        <f t="shared" si="22"/>
        <v/>
      </c>
      <c r="Q44" s="84" t="str">
        <f t="shared" si="23"/>
        <v/>
      </c>
      <c r="R44" s="84" t="str">
        <f t="shared" si="24"/>
        <v/>
      </c>
      <c r="S44" s="84" t="str">
        <f t="shared" si="25"/>
        <v/>
      </c>
      <c r="T44" s="84" t="str">
        <f t="shared" si="26"/>
        <v/>
      </c>
      <c r="U44" s="1"/>
      <c r="V44" s="1"/>
      <c r="W44" s="1"/>
      <c r="X44" s="1"/>
      <c r="Y44" s="1"/>
      <c r="Z44" s="1"/>
      <c r="AA44" s="1"/>
      <c r="AB44" s="1"/>
      <c r="AC44" s="1"/>
      <c r="AD44" s="84">
        <f t="shared" si="27"/>
        <v>115.99956</v>
      </c>
      <c r="AE44" s="84" t="str">
        <f t="shared" si="28"/>
        <v/>
      </c>
      <c r="AF44" s="84" t="str">
        <f t="shared" si="29"/>
        <v/>
      </c>
      <c r="AG44" s="1"/>
      <c r="AH44" s="1"/>
      <c r="AI44" s="1"/>
      <c r="AJ44" s="84">
        <f t="shared" si="30"/>
        <v>115.99956</v>
      </c>
      <c r="AK44" s="84" t="str">
        <f t="shared" si="31"/>
        <v/>
      </c>
      <c r="AL44" s="84" t="str">
        <f t="shared" si="32"/>
        <v/>
      </c>
      <c r="AM44" s="1"/>
      <c r="AN44" s="1"/>
      <c r="AO44" s="1"/>
      <c r="AP44" s="84">
        <f t="shared" si="33"/>
        <v>115.99956</v>
      </c>
      <c r="AQ44" s="84" t="str">
        <f t="shared" si="34"/>
        <v/>
      </c>
      <c r="AR44" s="84" t="str">
        <f t="shared" si="35"/>
        <v/>
      </c>
    </row>
    <row r="45" spans="1:44" ht="19" customHeight="1" x14ac:dyDescent="0.3">
      <c r="A45" s="57" t="s">
        <v>98</v>
      </c>
      <c r="B45" s="57"/>
      <c r="C45" s="57"/>
      <c r="D45" s="89">
        <f>持有情况!H70-ROW()*0.00001</f>
        <v>198.99955</v>
      </c>
      <c r="E45" s="89">
        <v>1</v>
      </c>
      <c r="F45" s="89">
        <v>1</v>
      </c>
      <c r="G45" s="89">
        <v>1</v>
      </c>
      <c r="H45" s="90">
        <v>0</v>
      </c>
      <c r="I45" s="1"/>
      <c r="J45" s="89">
        <f>INT(60+4*路线!B25+17*路线!B34+40)-ROW()*0.00001</f>
        <v>198.99955</v>
      </c>
      <c r="K45" s="1"/>
      <c r="L45" s="84">
        <f t="shared" si="18"/>
        <v>198.99955</v>
      </c>
      <c r="M45" s="84" t="str">
        <f t="shared" si="19"/>
        <v/>
      </c>
      <c r="N45" s="84" t="str">
        <f t="shared" si="20"/>
        <v/>
      </c>
      <c r="O45" s="84" t="str">
        <f t="shared" si="21"/>
        <v/>
      </c>
      <c r="P45" s="84" t="str">
        <f t="shared" si="22"/>
        <v/>
      </c>
      <c r="Q45" s="84" t="str">
        <f t="shared" si="23"/>
        <v/>
      </c>
      <c r="R45" s="84" t="str">
        <f t="shared" si="24"/>
        <v/>
      </c>
      <c r="S45" s="84" t="str">
        <f t="shared" si="25"/>
        <v/>
      </c>
      <c r="T45" s="84" t="str">
        <f t="shared" si="26"/>
        <v/>
      </c>
      <c r="U45" s="1"/>
      <c r="V45" s="1"/>
      <c r="W45" s="1"/>
      <c r="X45" s="1"/>
      <c r="Y45" s="1"/>
      <c r="Z45" s="1"/>
      <c r="AA45" s="1"/>
      <c r="AB45" s="1"/>
      <c r="AC45" s="1"/>
      <c r="AD45" s="84">
        <f t="shared" si="27"/>
        <v>198.99955</v>
      </c>
      <c r="AE45" s="84" t="str">
        <f t="shared" si="28"/>
        <v/>
      </c>
      <c r="AF45" s="84" t="str">
        <f t="shared" si="29"/>
        <v/>
      </c>
      <c r="AG45" s="1"/>
      <c r="AH45" s="1"/>
      <c r="AI45" s="1"/>
      <c r="AJ45" s="84" t="str">
        <f t="shared" si="30"/>
        <v/>
      </c>
      <c r="AK45" s="84" t="str">
        <f t="shared" si="31"/>
        <v/>
      </c>
      <c r="AL45" s="84" t="str">
        <f t="shared" si="32"/>
        <v/>
      </c>
      <c r="AM45" s="1"/>
      <c r="AN45" s="1"/>
      <c r="AO45" s="1"/>
      <c r="AP45" s="84" t="str">
        <f t="shared" si="33"/>
        <v/>
      </c>
      <c r="AQ45" s="84" t="str">
        <f t="shared" si="34"/>
        <v/>
      </c>
      <c r="AR45" s="84" t="str">
        <f t="shared" si="35"/>
        <v/>
      </c>
    </row>
    <row r="46" spans="1:44" ht="19" customHeight="1" x14ac:dyDescent="0.3">
      <c r="A46" s="67" t="s">
        <v>65</v>
      </c>
      <c r="B46" s="67"/>
      <c r="C46" s="67"/>
      <c r="D46" s="89">
        <f>持有情况!AB40-ROW()*0.00001</f>
        <v>136.99954</v>
      </c>
      <c r="E46" s="90">
        <v>0</v>
      </c>
      <c r="F46" s="89">
        <v>1</v>
      </c>
      <c r="G46" s="89">
        <v>3</v>
      </c>
      <c r="H46" s="89">
        <v>1</v>
      </c>
      <c r="I46" s="84" t="s">
        <v>330</v>
      </c>
      <c r="J46" s="89">
        <f>IF(路线!C6="计算",INT(60+4*路线!B20+17+40+20)-ROW()*0.00001,INT(60+4*路线!B20+17+40)-ROW()*0.00001)</f>
        <v>136.99954</v>
      </c>
      <c r="K46" s="1"/>
      <c r="L46" s="84" t="str">
        <f t="shared" si="18"/>
        <v/>
      </c>
      <c r="M46" s="84" t="str">
        <f t="shared" si="19"/>
        <v/>
      </c>
      <c r="N46" s="84" t="str">
        <f t="shared" si="20"/>
        <v/>
      </c>
      <c r="O46" s="84" t="str">
        <f t="shared" si="21"/>
        <v/>
      </c>
      <c r="P46" s="84" t="str">
        <f t="shared" si="22"/>
        <v/>
      </c>
      <c r="Q46" s="84" t="str">
        <f t="shared" si="23"/>
        <v/>
      </c>
      <c r="R46" s="84">
        <f t="shared" si="24"/>
        <v>136.99954</v>
      </c>
      <c r="S46" s="84">
        <f t="shared" si="25"/>
        <v>136.99954</v>
      </c>
      <c r="T46" s="84">
        <f t="shared" si="26"/>
        <v>136.99954</v>
      </c>
      <c r="U46" s="1"/>
      <c r="V46" s="1"/>
      <c r="W46" s="1"/>
      <c r="X46" s="1"/>
      <c r="Y46" s="1"/>
      <c r="Z46" s="1"/>
      <c r="AA46" s="1"/>
      <c r="AB46" s="1"/>
      <c r="AC46" s="1"/>
      <c r="AD46" s="84" t="str">
        <f t="shared" si="27"/>
        <v/>
      </c>
      <c r="AE46" s="84" t="str">
        <f t="shared" si="28"/>
        <v/>
      </c>
      <c r="AF46" s="84">
        <f t="shared" si="29"/>
        <v>136.99954</v>
      </c>
      <c r="AG46" s="1"/>
      <c r="AH46" s="1"/>
      <c r="AI46" s="1"/>
      <c r="AJ46" s="84" t="str">
        <f t="shared" si="30"/>
        <v/>
      </c>
      <c r="AK46" s="84" t="str">
        <f t="shared" si="31"/>
        <v/>
      </c>
      <c r="AL46" s="84">
        <f t="shared" si="32"/>
        <v>136.99954</v>
      </c>
      <c r="AM46" s="1"/>
      <c r="AN46" s="1"/>
      <c r="AO46" s="1"/>
      <c r="AP46" s="84" t="str">
        <f t="shared" si="33"/>
        <v/>
      </c>
      <c r="AQ46" s="84" t="str">
        <f t="shared" si="34"/>
        <v/>
      </c>
      <c r="AR46" s="84">
        <f t="shared" si="35"/>
        <v>136.99954</v>
      </c>
    </row>
    <row r="47" spans="1:44" ht="19" customHeight="1" x14ac:dyDescent="0.3">
      <c r="A47" s="75" t="s">
        <v>99</v>
      </c>
      <c r="B47" s="75"/>
      <c r="C47" s="75"/>
      <c r="D47" s="89">
        <f>持有情况!R70-ROW()*0.00001</f>
        <v>116.99952999999999</v>
      </c>
      <c r="E47" s="89">
        <v>3</v>
      </c>
      <c r="F47" s="89">
        <v>1</v>
      </c>
      <c r="G47" s="89">
        <v>2</v>
      </c>
      <c r="H47" s="89">
        <v>1</v>
      </c>
      <c r="I47" s="84" t="s">
        <v>334</v>
      </c>
      <c r="J47" s="89">
        <f>INT(60+17+40)-ROW()*0.00001</f>
        <v>116.99952999999999</v>
      </c>
      <c r="K47" s="1"/>
      <c r="L47" s="84" t="str">
        <f t="shared" si="18"/>
        <v/>
      </c>
      <c r="M47" s="84" t="str">
        <f t="shared" si="19"/>
        <v/>
      </c>
      <c r="N47" s="84" t="str">
        <f t="shared" si="20"/>
        <v/>
      </c>
      <c r="O47" s="84" t="str">
        <f t="shared" si="21"/>
        <v/>
      </c>
      <c r="P47" s="84" t="str">
        <f t="shared" si="22"/>
        <v/>
      </c>
      <c r="Q47" s="84">
        <f t="shared" si="23"/>
        <v>116.99952999999999</v>
      </c>
      <c r="R47" s="84" t="str">
        <f t="shared" si="24"/>
        <v/>
      </c>
      <c r="S47" s="84" t="str">
        <f t="shared" si="25"/>
        <v/>
      </c>
      <c r="T47" s="84" t="str">
        <f t="shared" si="26"/>
        <v/>
      </c>
      <c r="U47" s="1"/>
      <c r="V47" s="1"/>
      <c r="W47" s="1"/>
      <c r="X47" s="1"/>
      <c r="Y47" s="1"/>
      <c r="Z47" s="1"/>
      <c r="AA47" s="1"/>
      <c r="AB47" s="1"/>
      <c r="AC47" s="1"/>
      <c r="AD47" s="84" t="str">
        <f t="shared" si="27"/>
        <v/>
      </c>
      <c r="AE47" s="84" t="str">
        <f t="shared" si="28"/>
        <v/>
      </c>
      <c r="AF47" s="84" t="str">
        <f t="shared" si="29"/>
        <v/>
      </c>
      <c r="AG47" s="1"/>
      <c r="AH47" s="1"/>
      <c r="AI47" s="1"/>
      <c r="AJ47" s="84" t="str">
        <f t="shared" si="30"/>
        <v/>
      </c>
      <c r="AK47" s="84" t="str">
        <f t="shared" si="31"/>
        <v/>
      </c>
      <c r="AL47" s="84" t="str">
        <f t="shared" si="32"/>
        <v/>
      </c>
      <c r="AM47" s="1"/>
      <c r="AN47" s="1"/>
      <c r="AO47" s="1"/>
      <c r="AP47" s="84" t="str">
        <f t="shared" si="33"/>
        <v/>
      </c>
      <c r="AQ47" s="84">
        <f t="shared" si="34"/>
        <v>116.99952999999999</v>
      </c>
      <c r="AR47" s="84" t="str">
        <f t="shared" si="35"/>
        <v/>
      </c>
    </row>
    <row r="48" spans="1:44" ht="19" customHeight="1" x14ac:dyDescent="0.3">
      <c r="A48" s="57" t="s">
        <v>66</v>
      </c>
      <c r="B48" s="57"/>
      <c r="C48" s="57"/>
      <c r="D48" s="89">
        <f>IF(路线!B4="计算",持有情况!AM42,持有情况!AL40)-ROW()*0.00001</f>
        <v>168.99951999999999</v>
      </c>
      <c r="E48" s="89">
        <v>2</v>
      </c>
      <c r="F48" s="90">
        <v>0</v>
      </c>
      <c r="G48" s="89">
        <v>1</v>
      </c>
      <c r="H48" s="90">
        <v>0</v>
      </c>
      <c r="I48" s="1"/>
      <c r="J48" s="89">
        <f>IF(路线!B4="计算",INT(45+17*路线!B32+30+持有情况!AM39),INT(45+17*路线!B32+30))-ROW()*0.00001</f>
        <v>168.99951999999999</v>
      </c>
      <c r="K48" s="1"/>
      <c r="L48" s="84" t="str">
        <f t="shared" si="18"/>
        <v/>
      </c>
      <c r="M48" s="84">
        <f t="shared" si="19"/>
        <v>168.99951999999999</v>
      </c>
      <c r="N48" s="84" t="str">
        <f t="shared" si="20"/>
        <v/>
      </c>
      <c r="O48" s="84" t="str">
        <f t="shared" si="21"/>
        <v/>
      </c>
      <c r="P48" s="84" t="str">
        <f t="shared" si="22"/>
        <v/>
      </c>
      <c r="Q48" s="84" t="str">
        <f t="shared" si="23"/>
        <v/>
      </c>
      <c r="R48" s="84" t="str">
        <f t="shared" si="24"/>
        <v/>
      </c>
      <c r="S48" s="84" t="str">
        <f t="shared" si="25"/>
        <v/>
      </c>
      <c r="T48" s="84" t="str">
        <f t="shared" si="26"/>
        <v/>
      </c>
      <c r="U48" s="1"/>
      <c r="V48" s="1"/>
      <c r="W48" s="1"/>
      <c r="X48" s="1"/>
      <c r="Y48" s="1"/>
      <c r="Z48" s="1"/>
      <c r="AA48" s="1"/>
      <c r="AB48" s="1"/>
      <c r="AC48" s="1"/>
      <c r="AD48" s="84" t="str">
        <f t="shared" si="27"/>
        <v/>
      </c>
      <c r="AE48" s="84" t="str">
        <f t="shared" si="28"/>
        <v/>
      </c>
      <c r="AF48" s="84" t="str">
        <f t="shared" si="29"/>
        <v/>
      </c>
      <c r="AG48" s="1"/>
      <c r="AH48" s="1"/>
      <c r="AI48" s="1"/>
      <c r="AJ48" s="84">
        <f t="shared" si="30"/>
        <v>168.99951999999999</v>
      </c>
      <c r="AK48" s="84" t="str">
        <f t="shared" si="31"/>
        <v/>
      </c>
      <c r="AL48" s="84" t="str">
        <f t="shared" si="32"/>
        <v/>
      </c>
      <c r="AM48" s="1"/>
      <c r="AN48" s="1"/>
      <c r="AO48" s="1"/>
      <c r="AP48" s="84" t="str">
        <f t="shared" si="33"/>
        <v/>
      </c>
      <c r="AQ48" s="84" t="str">
        <f t="shared" si="34"/>
        <v/>
      </c>
      <c r="AR48" s="84" t="str">
        <f t="shared" si="35"/>
        <v/>
      </c>
    </row>
    <row r="49" spans="1:44" ht="19" customHeight="1" x14ac:dyDescent="0.3">
      <c r="A49" s="67" t="s">
        <v>2</v>
      </c>
      <c r="B49" s="67"/>
      <c r="C49" s="67"/>
      <c r="D49" s="89">
        <f>持有情况!AB4-ROW()*0.00001</f>
        <v>143.99950999999999</v>
      </c>
      <c r="E49" s="90">
        <v>0</v>
      </c>
      <c r="F49" s="90">
        <v>0</v>
      </c>
      <c r="G49" s="89">
        <v>3</v>
      </c>
      <c r="H49" s="89">
        <v>1</v>
      </c>
      <c r="I49" s="84" t="s">
        <v>332</v>
      </c>
      <c r="J49" s="89">
        <f>IF(路线!C6="计算",INT(60+2*路线!B24+4*路线!B20+40+20)-ROW()*0.00001,INT(60+2*路线!B24+4*路线!B20+40)-ROW()*0.00001)</f>
        <v>143.99950999999999</v>
      </c>
      <c r="K49" s="1"/>
      <c r="L49" s="84" t="str">
        <f t="shared" si="18"/>
        <v/>
      </c>
      <c r="M49" s="84" t="str">
        <f t="shared" si="19"/>
        <v/>
      </c>
      <c r="N49" s="84" t="str">
        <f t="shared" si="20"/>
        <v/>
      </c>
      <c r="O49" s="84" t="str">
        <f t="shared" si="21"/>
        <v/>
      </c>
      <c r="P49" s="84" t="str">
        <f t="shared" si="22"/>
        <v/>
      </c>
      <c r="Q49" s="84" t="str">
        <f t="shared" si="23"/>
        <v/>
      </c>
      <c r="R49" s="84">
        <f t="shared" si="24"/>
        <v>143.99950999999999</v>
      </c>
      <c r="S49" s="84">
        <f t="shared" si="25"/>
        <v>143.99950999999999</v>
      </c>
      <c r="T49" s="84">
        <f t="shared" si="26"/>
        <v>143.99950999999999</v>
      </c>
      <c r="U49" s="1"/>
      <c r="V49" s="1"/>
      <c r="W49" s="1"/>
      <c r="X49" s="1"/>
      <c r="Y49" s="1"/>
      <c r="Z49" s="1"/>
      <c r="AA49" s="1"/>
      <c r="AB49" s="1"/>
      <c r="AC49" s="1"/>
      <c r="AD49" s="84" t="str">
        <f t="shared" si="27"/>
        <v/>
      </c>
      <c r="AE49" s="84" t="str">
        <f t="shared" si="28"/>
        <v/>
      </c>
      <c r="AF49" s="84">
        <f t="shared" si="29"/>
        <v>143.99950999999999</v>
      </c>
      <c r="AG49" s="1"/>
      <c r="AH49" s="1"/>
      <c r="AI49" s="1"/>
      <c r="AJ49" s="84" t="str">
        <f t="shared" si="30"/>
        <v/>
      </c>
      <c r="AK49" s="84" t="str">
        <f t="shared" si="31"/>
        <v/>
      </c>
      <c r="AL49" s="84">
        <f t="shared" si="32"/>
        <v>143.99950999999999</v>
      </c>
      <c r="AM49" s="1"/>
      <c r="AN49" s="1"/>
      <c r="AO49" s="1"/>
      <c r="AP49" s="84" t="str">
        <f t="shared" si="33"/>
        <v/>
      </c>
      <c r="AQ49" s="84" t="str">
        <f t="shared" si="34"/>
        <v/>
      </c>
      <c r="AR49" s="84">
        <f t="shared" si="35"/>
        <v>143.99950999999999</v>
      </c>
    </row>
    <row r="50" spans="1:44" ht="19" customHeight="1" x14ac:dyDescent="0.3">
      <c r="A50" s="57" t="s">
        <v>30</v>
      </c>
      <c r="B50" s="57"/>
      <c r="C50" s="57"/>
      <c r="D50" s="89">
        <f>持有情况!H16-ROW()*0.00001</f>
        <v>149.99950000000001</v>
      </c>
      <c r="E50" s="90">
        <v>0</v>
      </c>
      <c r="F50" s="89">
        <v>1</v>
      </c>
      <c r="G50" s="89">
        <v>1</v>
      </c>
      <c r="H50" s="89">
        <v>1</v>
      </c>
      <c r="I50" s="84" t="s">
        <v>305</v>
      </c>
      <c r="J50" s="89">
        <f>IF(路线!C6="计算",INT(60+17*路线!B21+3*路线!B23+40+20)-ROW()*0.00001,INT(60+17*路线!B21+3*路线!B23+40)-ROW()*0.00001)</f>
        <v>149.99950000000001</v>
      </c>
      <c r="K50" s="1"/>
      <c r="L50" s="84">
        <f t="shared" si="18"/>
        <v>149.99950000000001</v>
      </c>
      <c r="M50" s="84">
        <f t="shared" si="19"/>
        <v>149.99950000000001</v>
      </c>
      <c r="N50" s="84">
        <f t="shared" si="20"/>
        <v>149.99950000000001</v>
      </c>
      <c r="O50" s="84" t="str">
        <f t="shared" si="21"/>
        <v/>
      </c>
      <c r="P50" s="84" t="str">
        <f t="shared" si="22"/>
        <v/>
      </c>
      <c r="Q50" s="84" t="str">
        <f t="shared" si="23"/>
        <v/>
      </c>
      <c r="R50" s="84" t="str">
        <f t="shared" si="24"/>
        <v/>
      </c>
      <c r="S50" s="84" t="str">
        <f t="shared" si="25"/>
        <v/>
      </c>
      <c r="T50" s="84" t="str">
        <f t="shared" si="26"/>
        <v/>
      </c>
      <c r="U50" s="1"/>
      <c r="V50" s="1"/>
      <c r="W50" s="1"/>
      <c r="X50" s="1"/>
      <c r="Y50" s="1"/>
      <c r="Z50" s="1"/>
      <c r="AA50" s="1"/>
      <c r="AB50" s="1"/>
      <c r="AC50" s="1"/>
      <c r="AD50" s="84">
        <f t="shared" si="27"/>
        <v>149.99950000000001</v>
      </c>
      <c r="AE50" s="84" t="str">
        <f t="shared" si="28"/>
        <v/>
      </c>
      <c r="AF50" s="84" t="str">
        <f t="shared" si="29"/>
        <v/>
      </c>
      <c r="AG50" s="1"/>
      <c r="AH50" s="1"/>
      <c r="AI50" s="1"/>
      <c r="AJ50" s="84">
        <f t="shared" si="30"/>
        <v>149.99950000000001</v>
      </c>
      <c r="AK50" s="84" t="str">
        <f t="shared" si="31"/>
        <v/>
      </c>
      <c r="AL50" s="84" t="str">
        <f t="shared" si="32"/>
        <v/>
      </c>
      <c r="AM50" s="1"/>
      <c r="AN50" s="1"/>
      <c r="AO50" s="1"/>
      <c r="AP50" s="84">
        <f t="shared" si="33"/>
        <v>149.99950000000001</v>
      </c>
      <c r="AQ50" s="84" t="str">
        <f t="shared" si="34"/>
        <v/>
      </c>
      <c r="AR50" s="84" t="str">
        <f t="shared" si="35"/>
        <v/>
      </c>
    </row>
    <row r="51" spans="1:44" ht="19" customHeight="1" x14ac:dyDescent="0.3">
      <c r="A51" s="75" t="s">
        <v>79</v>
      </c>
      <c r="B51" s="75"/>
      <c r="C51" s="75"/>
      <c r="D51" s="89">
        <f>持有情况!R52-ROW()*0.00001</f>
        <v>129.99949000000001</v>
      </c>
      <c r="E51" s="89">
        <v>1</v>
      </c>
      <c r="F51" s="89">
        <v>1</v>
      </c>
      <c r="G51" s="89">
        <v>2</v>
      </c>
      <c r="H51" s="90">
        <v>0</v>
      </c>
      <c r="I51" s="1"/>
      <c r="J51" s="89">
        <f>INT(60+17*路线!B21+3*路线!B23+40)-ROW()*0.00001</f>
        <v>129.99949000000001</v>
      </c>
      <c r="K51" s="1"/>
      <c r="L51" s="84" t="str">
        <f t="shared" si="18"/>
        <v/>
      </c>
      <c r="M51" s="84" t="str">
        <f t="shared" si="19"/>
        <v/>
      </c>
      <c r="N51" s="84" t="str">
        <f t="shared" si="20"/>
        <v/>
      </c>
      <c r="O51" s="84">
        <f t="shared" si="21"/>
        <v>129.99949000000001</v>
      </c>
      <c r="P51" s="84" t="str">
        <f t="shared" si="22"/>
        <v/>
      </c>
      <c r="Q51" s="84" t="str">
        <f t="shared" si="23"/>
        <v/>
      </c>
      <c r="R51" s="84" t="str">
        <f t="shared" si="24"/>
        <v/>
      </c>
      <c r="S51" s="84" t="str">
        <f t="shared" si="25"/>
        <v/>
      </c>
      <c r="T51" s="84" t="str">
        <f t="shared" si="26"/>
        <v/>
      </c>
      <c r="U51" s="1"/>
      <c r="V51" s="1"/>
      <c r="W51" s="1"/>
      <c r="X51" s="1"/>
      <c r="Y51" s="1"/>
      <c r="Z51" s="1"/>
      <c r="AA51" s="1"/>
      <c r="AB51" s="1"/>
      <c r="AC51" s="1"/>
      <c r="AD51" s="84" t="str">
        <f t="shared" si="27"/>
        <v/>
      </c>
      <c r="AE51" s="84">
        <f t="shared" si="28"/>
        <v>129.99949000000001</v>
      </c>
      <c r="AF51" s="84" t="str">
        <f t="shared" si="29"/>
        <v/>
      </c>
      <c r="AG51" s="1"/>
      <c r="AH51" s="1"/>
      <c r="AI51" s="1"/>
      <c r="AJ51" s="84" t="str">
        <f t="shared" si="30"/>
        <v/>
      </c>
      <c r="AK51" s="84" t="str">
        <f t="shared" si="31"/>
        <v/>
      </c>
      <c r="AL51" s="84" t="str">
        <f t="shared" si="32"/>
        <v/>
      </c>
      <c r="AM51" s="1"/>
      <c r="AN51" s="1"/>
      <c r="AO51" s="1"/>
      <c r="AP51" s="84" t="str">
        <f t="shared" si="33"/>
        <v/>
      </c>
      <c r="AQ51" s="84" t="str">
        <f t="shared" si="34"/>
        <v/>
      </c>
      <c r="AR51" s="84" t="str">
        <f t="shared" si="35"/>
        <v/>
      </c>
    </row>
    <row r="52" spans="1:44" ht="19" customHeight="1" x14ac:dyDescent="0.3">
      <c r="A52" s="75" t="s">
        <v>113</v>
      </c>
      <c r="B52" s="75"/>
      <c r="C52" s="75"/>
      <c r="D52" s="89">
        <f>持有情况!R82-ROW()*0.00001</f>
        <v>129.99948000000001</v>
      </c>
      <c r="E52" s="89">
        <v>3</v>
      </c>
      <c r="F52" s="89">
        <v>1</v>
      </c>
      <c r="G52" s="89">
        <v>2</v>
      </c>
      <c r="H52" s="89">
        <v>1</v>
      </c>
      <c r="I52" s="84" t="s">
        <v>308</v>
      </c>
      <c r="J52" s="89">
        <f>INT(60+17*路线!B21+3*路线!B23+40)-ROW()*0.00001</f>
        <v>129.99948000000001</v>
      </c>
      <c r="K52" s="1"/>
      <c r="L52" s="84" t="str">
        <f t="shared" si="18"/>
        <v/>
      </c>
      <c r="M52" s="84" t="str">
        <f t="shared" si="19"/>
        <v/>
      </c>
      <c r="N52" s="84" t="str">
        <f t="shared" si="20"/>
        <v/>
      </c>
      <c r="O52" s="84" t="str">
        <f t="shared" si="21"/>
        <v/>
      </c>
      <c r="P52" s="84" t="str">
        <f t="shared" si="22"/>
        <v/>
      </c>
      <c r="Q52" s="84">
        <f t="shared" si="23"/>
        <v>129.99948000000001</v>
      </c>
      <c r="R52" s="84" t="str">
        <f t="shared" si="24"/>
        <v/>
      </c>
      <c r="S52" s="84" t="str">
        <f t="shared" si="25"/>
        <v/>
      </c>
      <c r="T52" s="84" t="str">
        <f t="shared" si="26"/>
        <v/>
      </c>
      <c r="U52" s="1"/>
      <c r="V52" s="1"/>
      <c r="W52" s="1"/>
      <c r="X52" s="1"/>
      <c r="Y52" s="1"/>
      <c r="Z52" s="1"/>
      <c r="AA52" s="1"/>
      <c r="AB52" s="1"/>
      <c r="AC52" s="1"/>
      <c r="AD52" s="84" t="str">
        <f t="shared" si="27"/>
        <v/>
      </c>
      <c r="AE52" s="84" t="str">
        <f t="shared" si="28"/>
        <v/>
      </c>
      <c r="AF52" s="84" t="str">
        <f t="shared" si="29"/>
        <v/>
      </c>
      <c r="AG52" s="1"/>
      <c r="AH52" s="1"/>
      <c r="AI52" s="1"/>
      <c r="AJ52" s="84" t="str">
        <f t="shared" si="30"/>
        <v/>
      </c>
      <c r="AK52" s="84" t="str">
        <f t="shared" si="31"/>
        <v/>
      </c>
      <c r="AL52" s="84" t="str">
        <f t="shared" si="32"/>
        <v/>
      </c>
      <c r="AM52" s="1"/>
      <c r="AN52" s="1"/>
      <c r="AO52" s="1"/>
      <c r="AP52" s="84" t="str">
        <f t="shared" si="33"/>
        <v/>
      </c>
      <c r="AQ52" s="84">
        <f t="shared" si="34"/>
        <v>129.99948000000001</v>
      </c>
      <c r="AR52" s="84" t="str">
        <f t="shared" si="35"/>
        <v/>
      </c>
    </row>
    <row r="53" spans="1:44" ht="19" customHeight="1" x14ac:dyDescent="0.3">
      <c r="A53" s="67" t="s">
        <v>87</v>
      </c>
      <c r="B53" s="67"/>
      <c r="C53" s="67"/>
      <c r="D53" s="89">
        <f>持有情况!AB58-ROW()*0.00001</f>
        <v>141.99947</v>
      </c>
      <c r="E53" s="89">
        <v>2</v>
      </c>
      <c r="F53" s="90">
        <v>0</v>
      </c>
      <c r="G53" s="89">
        <v>3</v>
      </c>
      <c r="H53" s="89">
        <v>1</v>
      </c>
      <c r="I53" s="84" t="s">
        <v>309</v>
      </c>
      <c r="J53" s="89">
        <f>IF(路线!C6="计算",INT(60+17*路线!B21+11*路线!B39+40+20)-ROW()*0.00001,INT(60+17*路线!B21+11*路线!B39+40)-ROW()*0.00001)</f>
        <v>141.99947</v>
      </c>
      <c r="K53" s="1"/>
      <c r="L53" s="84" t="str">
        <f t="shared" si="18"/>
        <v/>
      </c>
      <c r="M53" s="84" t="str">
        <f t="shared" si="19"/>
        <v/>
      </c>
      <c r="N53" s="84" t="str">
        <f t="shared" si="20"/>
        <v/>
      </c>
      <c r="O53" s="84" t="str">
        <f t="shared" si="21"/>
        <v/>
      </c>
      <c r="P53" s="84" t="str">
        <f t="shared" si="22"/>
        <v/>
      </c>
      <c r="Q53" s="84" t="str">
        <f t="shared" si="23"/>
        <v/>
      </c>
      <c r="R53" s="84" t="str">
        <f t="shared" si="24"/>
        <v/>
      </c>
      <c r="S53" s="84">
        <f t="shared" si="25"/>
        <v>141.99947</v>
      </c>
      <c r="T53" s="84" t="str">
        <f t="shared" si="26"/>
        <v/>
      </c>
      <c r="U53" s="1"/>
      <c r="V53" s="1"/>
      <c r="W53" s="1"/>
      <c r="X53" s="1"/>
      <c r="Y53" s="1"/>
      <c r="Z53" s="1"/>
      <c r="AA53" s="1"/>
      <c r="AB53" s="1"/>
      <c r="AC53" s="1"/>
      <c r="AD53" s="84" t="str">
        <f t="shared" si="27"/>
        <v/>
      </c>
      <c r="AE53" s="84" t="str">
        <f t="shared" si="28"/>
        <v/>
      </c>
      <c r="AF53" s="84" t="str">
        <f t="shared" si="29"/>
        <v/>
      </c>
      <c r="AG53" s="1"/>
      <c r="AH53" s="1"/>
      <c r="AI53" s="1"/>
      <c r="AJ53" s="84" t="str">
        <f t="shared" si="30"/>
        <v/>
      </c>
      <c r="AK53" s="84" t="str">
        <f t="shared" si="31"/>
        <v/>
      </c>
      <c r="AL53" s="84">
        <f t="shared" si="32"/>
        <v>141.99947</v>
      </c>
      <c r="AM53" s="1"/>
      <c r="AN53" s="1"/>
      <c r="AO53" s="1"/>
      <c r="AP53" s="84" t="str">
        <f t="shared" si="33"/>
        <v/>
      </c>
      <c r="AQ53" s="84" t="str">
        <f t="shared" si="34"/>
        <v/>
      </c>
      <c r="AR53" s="84" t="str">
        <f t="shared" si="35"/>
        <v/>
      </c>
    </row>
    <row r="54" spans="1:44" ht="19" customHeight="1" x14ac:dyDescent="0.3">
      <c r="A54" s="75" t="s">
        <v>24</v>
      </c>
      <c r="B54" s="75"/>
      <c r="C54" s="75"/>
      <c r="D54" s="89">
        <f>持有情况!R10-ROW()*0.00001</f>
        <v>163.99946</v>
      </c>
      <c r="E54" s="90">
        <v>0</v>
      </c>
      <c r="F54" s="90">
        <v>0</v>
      </c>
      <c r="G54" s="89">
        <v>2</v>
      </c>
      <c r="H54" s="89">
        <v>1</v>
      </c>
      <c r="I54" s="84" t="s">
        <v>328</v>
      </c>
      <c r="J54" s="89">
        <f>IF(路线!C6="计算",INT(60+6*路线!B20+11*路线!B33+40+20)-ROW()*0.00001,INT(60+6*路线!B20+11*路线!B33+40)-ROW()*0.00001)</f>
        <v>163.99946</v>
      </c>
      <c r="K54" s="1"/>
      <c r="L54" s="84" t="str">
        <f t="shared" si="18"/>
        <v/>
      </c>
      <c r="M54" s="84" t="str">
        <f t="shared" si="19"/>
        <v/>
      </c>
      <c r="N54" s="84" t="str">
        <f t="shared" si="20"/>
        <v/>
      </c>
      <c r="O54" s="84">
        <f t="shared" si="21"/>
        <v>163.99946</v>
      </c>
      <c r="P54" s="84">
        <f t="shared" si="22"/>
        <v>163.99946</v>
      </c>
      <c r="Q54" s="84">
        <f t="shared" si="23"/>
        <v>163.99946</v>
      </c>
      <c r="R54" s="84" t="str">
        <f t="shared" si="24"/>
        <v/>
      </c>
      <c r="S54" s="84" t="str">
        <f t="shared" si="25"/>
        <v/>
      </c>
      <c r="T54" s="84" t="str">
        <f t="shared" si="26"/>
        <v/>
      </c>
      <c r="U54" s="1"/>
      <c r="V54" s="1"/>
      <c r="W54" s="1"/>
      <c r="X54" s="1"/>
      <c r="Y54" s="1"/>
      <c r="Z54" s="1"/>
      <c r="AA54" s="1"/>
      <c r="AB54" s="1"/>
      <c r="AC54" s="1"/>
      <c r="AD54" s="84" t="str">
        <f t="shared" si="27"/>
        <v/>
      </c>
      <c r="AE54" s="84">
        <f t="shared" si="28"/>
        <v>163.99946</v>
      </c>
      <c r="AF54" s="84" t="str">
        <f t="shared" si="29"/>
        <v/>
      </c>
      <c r="AG54" s="1"/>
      <c r="AH54" s="1"/>
      <c r="AI54" s="1"/>
      <c r="AJ54" s="84" t="str">
        <f t="shared" si="30"/>
        <v/>
      </c>
      <c r="AK54" s="84">
        <f t="shared" si="31"/>
        <v>163.99946</v>
      </c>
      <c r="AL54" s="84" t="str">
        <f t="shared" si="32"/>
        <v/>
      </c>
      <c r="AM54" s="1"/>
      <c r="AN54" s="1"/>
      <c r="AO54" s="1"/>
      <c r="AP54" s="84" t="str">
        <f t="shared" si="33"/>
        <v/>
      </c>
      <c r="AQ54" s="84">
        <f t="shared" si="34"/>
        <v>163.99946</v>
      </c>
      <c r="AR54" s="84" t="str">
        <f t="shared" si="35"/>
        <v/>
      </c>
    </row>
    <row r="55" spans="1:44" ht="19" customHeight="1" x14ac:dyDescent="0.3">
      <c r="A55" s="70" t="s">
        <v>106</v>
      </c>
      <c r="B55" s="57"/>
      <c r="C55" s="57"/>
      <c r="D55" s="89">
        <f>持有情况!H76-ROW()*0.00001</f>
        <v>129.99945</v>
      </c>
      <c r="E55" s="89">
        <v>1</v>
      </c>
      <c r="F55" s="89">
        <v>1</v>
      </c>
      <c r="G55" s="89">
        <v>1</v>
      </c>
      <c r="H55" s="89">
        <v>1</v>
      </c>
      <c r="I55" s="84" t="s">
        <v>286</v>
      </c>
      <c r="J55" s="89">
        <f>IF(路线!C6="计算",INT((8.5/100)*路线!B13+17*路线!B21+7*路线!B30+40+20)-ROW()*0.00001,INT((8.5/100)*路线!B13+17*路线!B21+7*路线!B30+40)-ROW()*0.00001)</f>
        <v>129.99945</v>
      </c>
      <c r="K55" s="1"/>
      <c r="L55" s="84">
        <f t="shared" si="18"/>
        <v>129.99945</v>
      </c>
      <c r="M55" s="84" t="str">
        <f t="shared" si="19"/>
        <v/>
      </c>
      <c r="N55" s="84" t="str">
        <f t="shared" si="20"/>
        <v/>
      </c>
      <c r="O55" s="84" t="str">
        <f t="shared" si="21"/>
        <v/>
      </c>
      <c r="P55" s="84" t="str">
        <f t="shared" si="22"/>
        <v/>
      </c>
      <c r="Q55" s="84" t="str">
        <f t="shared" si="23"/>
        <v/>
      </c>
      <c r="R55" s="84" t="str">
        <f t="shared" si="24"/>
        <v/>
      </c>
      <c r="S55" s="84" t="str">
        <f t="shared" si="25"/>
        <v/>
      </c>
      <c r="T55" s="84" t="str">
        <f t="shared" si="26"/>
        <v/>
      </c>
      <c r="U55" s="1"/>
      <c r="V55" s="1"/>
      <c r="W55" s="1"/>
      <c r="X55" s="1"/>
      <c r="Y55" s="1"/>
      <c r="Z55" s="1"/>
      <c r="AA55" s="1"/>
      <c r="AB55" s="1"/>
      <c r="AC55" s="1"/>
      <c r="AD55" s="84">
        <f t="shared" si="27"/>
        <v>129.99945</v>
      </c>
      <c r="AE55" s="84" t="str">
        <f t="shared" si="28"/>
        <v/>
      </c>
      <c r="AF55" s="84" t="str">
        <f t="shared" si="29"/>
        <v/>
      </c>
      <c r="AG55" s="1"/>
      <c r="AH55" s="1"/>
      <c r="AI55" s="1"/>
      <c r="AJ55" s="84" t="str">
        <f t="shared" si="30"/>
        <v/>
      </c>
      <c r="AK55" s="84" t="str">
        <f t="shared" si="31"/>
        <v/>
      </c>
      <c r="AL55" s="84" t="str">
        <f t="shared" si="32"/>
        <v/>
      </c>
      <c r="AM55" s="1"/>
      <c r="AN55" s="1"/>
      <c r="AO55" s="1"/>
      <c r="AP55" s="84" t="str">
        <f t="shared" si="33"/>
        <v/>
      </c>
      <c r="AQ55" s="84" t="str">
        <f t="shared" si="34"/>
        <v/>
      </c>
      <c r="AR55" s="84" t="str">
        <f t="shared" si="35"/>
        <v/>
      </c>
    </row>
    <row r="56" spans="1:44" ht="19" customHeight="1" x14ac:dyDescent="0.3">
      <c r="A56" s="75" t="s">
        <v>121</v>
      </c>
      <c r="B56" s="75"/>
      <c r="C56" s="75"/>
      <c r="D56" s="89">
        <f>持有情况!R88-ROW()*0.00001</f>
        <v>109.99944000000001</v>
      </c>
      <c r="E56" s="90">
        <v>0</v>
      </c>
      <c r="F56" s="90">
        <v>0</v>
      </c>
      <c r="G56" s="89">
        <v>2</v>
      </c>
      <c r="H56" s="90">
        <v>0</v>
      </c>
      <c r="I56" s="1"/>
      <c r="J56" s="89">
        <f>INT((8.5/100)*路线!B13+17*路线!B21+7*路线!B30+40)-ROW()*0.00001</f>
        <v>109.99944000000001</v>
      </c>
      <c r="K56" s="1"/>
      <c r="L56" s="84" t="str">
        <f t="shared" si="18"/>
        <v/>
      </c>
      <c r="M56" s="84" t="str">
        <f t="shared" si="19"/>
        <v/>
      </c>
      <c r="N56" s="84" t="str">
        <f t="shared" si="20"/>
        <v/>
      </c>
      <c r="O56" s="84">
        <f t="shared" si="21"/>
        <v>109.99944000000001</v>
      </c>
      <c r="P56" s="84">
        <f t="shared" si="22"/>
        <v>109.99944000000001</v>
      </c>
      <c r="Q56" s="84">
        <f t="shared" si="23"/>
        <v>109.99944000000001</v>
      </c>
      <c r="R56" s="84" t="str">
        <f t="shared" si="24"/>
        <v/>
      </c>
      <c r="S56" s="84" t="str">
        <f t="shared" si="25"/>
        <v/>
      </c>
      <c r="T56" s="84" t="str">
        <f t="shared" si="26"/>
        <v/>
      </c>
      <c r="U56" s="1"/>
      <c r="V56" s="1"/>
      <c r="W56" s="1"/>
      <c r="X56" s="1"/>
      <c r="Y56" s="1"/>
      <c r="Z56" s="1"/>
      <c r="AA56" s="1"/>
      <c r="AB56" s="1"/>
      <c r="AC56" s="1"/>
      <c r="AD56" s="84" t="str">
        <f t="shared" si="27"/>
        <v/>
      </c>
      <c r="AE56" s="84">
        <f t="shared" si="28"/>
        <v>109.99944000000001</v>
      </c>
      <c r="AF56" s="84" t="str">
        <f t="shared" si="29"/>
        <v/>
      </c>
      <c r="AG56" s="1"/>
      <c r="AH56" s="1"/>
      <c r="AI56" s="1"/>
      <c r="AJ56" s="84" t="str">
        <f t="shared" si="30"/>
        <v/>
      </c>
      <c r="AK56" s="84">
        <f t="shared" si="31"/>
        <v>109.99944000000001</v>
      </c>
      <c r="AL56" s="84" t="str">
        <f t="shared" si="32"/>
        <v/>
      </c>
      <c r="AM56" s="1"/>
      <c r="AN56" s="1"/>
      <c r="AO56" s="1"/>
      <c r="AP56" s="84" t="str">
        <f t="shared" si="33"/>
        <v/>
      </c>
      <c r="AQ56" s="84">
        <f t="shared" si="34"/>
        <v>109.99944000000001</v>
      </c>
      <c r="AR56" s="84" t="str">
        <f t="shared" si="35"/>
        <v/>
      </c>
    </row>
    <row r="57" spans="1:44" ht="19" customHeight="1" x14ac:dyDescent="0.3">
      <c r="A57" s="57" t="s">
        <v>88</v>
      </c>
      <c r="B57" s="57"/>
      <c r="C57" s="57"/>
      <c r="D57" s="89">
        <f>持有情况!AL58-ROW()*0.00001</f>
        <v>129.99942999999999</v>
      </c>
      <c r="E57" s="89">
        <v>1</v>
      </c>
      <c r="F57" s="89">
        <v>1</v>
      </c>
      <c r="G57" s="89">
        <v>1</v>
      </c>
      <c r="H57" s="89">
        <v>1</v>
      </c>
      <c r="I57" s="84" t="s">
        <v>315</v>
      </c>
      <c r="J57" s="89">
        <f>IF(路线!C6="计算",INT(45+5*路线!B30+13*路线!B21+30+20)-ROW()*0.00001,INT(45+5*路线!B30+13*路线!B21+30)-ROW()*0.00001)</f>
        <v>129.99942999999999</v>
      </c>
      <c r="K57" s="1"/>
      <c r="L57" s="84">
        <f t="shared" si="18"/>
        <v>129.99942999999999</v>
      </c>
      <c r="M57" s="84" t="str">
        <f t="shared" si="19"/>
        <v/>
      </c>
      <c r="N57" s="84" t="str">
        <f t="shared" si="20"/>
        <v/>
      </c>
      <c r="O57" s="84" t="str">
        <f t="shared" si="21"/>
        <v/>
      </c>
      <c r="P57" s="84" t="str">
        <f t="shared" si="22"/>
        <v/>
      </c>
      <c r="Q57" s="84" t="str">
        <f t="shared" si="23"/>
        <v/>
      </c>
      <c r="R57" s="84" t="str">
        <f t="shared" si="24"/>
        <v/>
      </c>
      <c r="S57" s="84" t="str">
        <f t="shared" si="25"/>
        <v/>
      </c>
      <c r="T57" s="84" t="str">
        <f t="shared" si="26"/>
        <v/>
      </c>
      <c r="U57" s="1"/>
      <c r="V57" s="1"/>
      <c r="W57" s="1"/>
      <c r="X57" s="1"/>
      <c r="Y57" s="1"/>
      <c r="Z57" s="1"/>
      <c r="AA57" s="1"/>
      <c r="AB57" s="1"/>
      <c r="AC57" s="1"/>
      <c r="AD57" s="84">
        <f t="shared" si="27"/>
        <v>129.99942999999999</v>
      </c>
      <c r="AE57" s="84" t="str">
        <f t="shared" si="28"/>
        <v/>
      </c>
      <c r="AF57" s="84" t="str">
        <f t="shared" si="29"/>
        <v/>
      </c>
      <c r="AG57" s="1"/>
      <c r="AH57" s="1"/>
      <c r="AI57" s="1"/>
      <c r="AJ57" s="84" t="str">
        <f t="shared" si="30"/>
        <v/>
      </c>
      <c r="AK57" s="84" t="str">
        <f t="shared" si="31"/>
        <v/>
      </c>
      <c r="AL57" s="84" t="str">
        <f t="shared" si="32"/>
        <v/>
      </c>
      <c r="AM57" s="1"/>
      <c r="AN57" s="1"/>
      <c r="AO57" s="1"/>
      <c r="AP57" s="84" t="str">
        <f t="shared" si="33"/>
        <v/>
      </c>
      <c r="AQ57" s="84" t="str">
        <f t="shared" si="34"/>
        <v/>
      </c>
      <c r="AR57" s="84" t="str">
        <f t="shared" si="35"/>
        <v/>
      </c>
    </row>
    <row r="58" spans="1:44" ht="19" customHeight="1" x14ac:dyDescent="0.3">
      <c r="A58" s="57" t="s">
        <v>85</v>
      </c>
      <c r="B58" s="57"/>
      <c r="C58" s="57"/>
      <c r="D58" s="89">
        <f>持有情况!H58-ROW()*0.00001</f>
        <v>131.99941999999999</v>
      </c>
      <c r="E58" s="90">
        <v>0</v>
      </c>
      <c r="F58" s="89">
        <v>1</v>
      </c>
      <c r="G58" s="89">
        <v>1</v>
      </c>
      <c r="H58" s="89">
        <v>1</v>
      </c>
      <c r="I58" s="84" t="s">
        <v>335</v>
      </c>
      <c r="J58" s="89">
        <f>INT(60+8*路线!B33+40)-ROW()*0.00001</f>
        <v>131.99941999999999</v>
      </c>
      <c r="K58" s="1"/>
      <c r="L58" s="84">
        <f t="shared" si="18"/>
        <v>131.99941999999999</v>
      </c>
      <c r="M58" s="84">
        <f t="shared" si="19"/>
        <v>131.99941999999999</v>
      </c>
      <c r="N58" s="84">
        <f t="shared" si="20"/>
        <v>131.99941999999999</v>
      </c>
      <c r="O58" s="84" t="str">
        <f t="shared" si="21"/>
        <v/>
      </c>
      <c r="P58" s="84" t="str">
        <f t="shared" si="22"/>
        <v/>
      </c>
      <c r="Q58" s="84" t="str">
        <f t="shared" si="23"/>
        <v/>
      </c>
      <c r="R58" s="84" t="str">
        <f t="shared" si="24"/>
        <v/>
      </c>
      <c r="S58" s="84" t="str">
        <f t="shared" si="25"/>
        <v/>
      </c>
      <c r="T58" s="84" t="str">
        <f t="shared" si="26"/>
        <v/>
      </c>
      <c r="U58" s="1"/>
      <c r="V58" s="1"/>
      <c r="W58" s="1"/>
      <c r="X58" s="1"/>
      <c r="Y58" s="1"/>
      <c r="Z58" s="1"/>
      <c r="AA58" s="1"/>
      <c r="AB58" s="1"/>
      <c r="AC58" s="1"/>
      <c r="AD58" s="84">
        <f t="shared" si="27"/>
        <v>131.99941999999999</v>
      </c>
      <c r="AE58" s="84" t="str">
        <f t="shared" si="28"/>
        <v/>
      </c>
      <c r="AF58" s="84" t="str">
        <f t="shared" si="29"/>
        <v/>
      </c>
      <c r="AG58" s="1"/>
      <c r="AH58" s="1"/>
      <c r="AI58" s="1"/>
      <c r="AJ58" s="84">
        <f t="shared" si="30"/>
        <v>131.99941999999999</v>
      </c>
      <c r="AK58" s="84" t="str">
        <f t="shared" si="31"/>
        <v/>
      </c>
      <c r="AL58" s="84" t="str">
        <f t="shared" si="32"/>
        <v/>
      </c>
      <c r="AM58" s="1"/>
      <c r="AN58" s="1"/>
      <c r="AO58" s="1"/>
      <c r="AP58" s="84">
        <f t="shared" si="33"/>
        <v>131.99941999999999</v>
      </c>
      <c r="AQ58" s="84" t="str">
        <f t="shared" si="34"/>
        <v/>
      </c>
      <c r="AR58" s="84" t="str">
        <f t="shared" si="35"/>
        <v/>
      </c>
    </row>
    <row r="59" spans="1:44" ht="19" customHeight="1" x14ac:dyDescent="0.3">
      <c r="A59" s="75" t="s">
        <v>59</v>
      </c>
      <c r="B59" s="75"/>
      <c r="C59" s="75"/>
      <c r="D59" s="89">
        <f>IF(路线!B4="计算",持有情况!AW36,持有情况!AV34)-ROW()*0.00001</f>
        <v>167.99941000000001</v>
      </c>
      <c r="E59" s="89">
        <v>1</v>
      </c>
      <c r="F59" s="89">
        <v>1</v>
      </c>
      <c r="G59" s="89">
        <v>2</v>
      </c>
      <c r="H59" s="90">
        <v>0</v>
      </c>
      <c r="I59" s="1"/>
      <c r="J59" s="89">
        <f>IF(路线!B4="计算",INT(45+11*路线!B34+4*路线!B20+30+持有情况!AW33),INT(45+11*路线!B34+4*路线!B20+30))-ROW()*0.00001</f>
        <v>167.99941000000001</v>
      </c>
      <c r="K59" s="1"/>
      <c r="L59" s="84" t="str">
        <f t="shared" si="18"/>
        <v/>
      </c>
      <c r="M59" s="84" t="str">
        <f t="shared" si="19"/>
        <v/>
      </c>
      <c r="N59" s="84" t="str">
        <f t="shared" si="20"/>
        <v/>
      </c>
      <c r="O59" s="84">
        <f t="shared" si="21"/>
        <v>167.99941000000001</v>
      </c>
      <c r="P59" s="84" t="str">
        <f t="shared" si="22"/>
        <v/>
      </c>
      <c r="Q59" s="84" t="str">
        <f t="shared" si="23"/>
        <v/>
      </c>
      <c r="R59" s="84" t="str">
        <f t="shared" si="24"/>
        <v/>
      </c>
      <c r="S59" s="84" t="str">
        <f t="shared" si="25"/>
        <v/>
      </c>
      <c r="T59" s="84" t="str">
        <f t="shared" si="26"/>
        <v/>
      </c>
      <c r="U59" s="1"/>
      <c r="V59" s="1"/>
      <c r="W59" s="1"/>
      <c r="X59" s="1"/>
      <c r="Y59" s="1"/>
      <c r="Z59" s="1"/>
      <c r="AA59" s="1"/>
      <c r="AB59" s="1"/>
      <c r="AC59" s="1"/>
      <c r="AD59" s="84" t="str">
        <f t="shared" si="27"/>
        <v/>
      </c>
      <c r="AE59" s="84">
        <f t="shared" si="28"/>
        <v>167.99941000000001</v>
      </c>
      <c r="AF59" s="84" t="str">
        <f t="shared" si="29"/>
        <v/>
      </c>
      <c r="AG59" s="1"/>
      <c r="AH59" s="1"/>
      <c r="AI59" s="1"/>
      <c r="AJ59" s="84" t="str">
        <f t="shared" si="30"/>
        <v/>
      </c>
      <c r="AK59" s="84" t="str">
        <f t="shared" si="31"/>
        <v/>
      </c>
      <c r="AL59" s="84" t="str">
        <f t="shared" si="32"/>
        <v/>
      </c>
      <c r="AM59" s="1"/>
      <c r="AN59" s="1"/>
      <c r="AO59" s="1"/>
      <c r="AP59" s="84" t="str">
        <f t="shared" si="33"/>
        <v/>
      </c>
      <c r="AQ59" s="84" t="str">
        <f t="shared" si="34"/>
        <v/>
      </c>
      <c r="AR59" s="84" t="str">
        <f t="shared" si="35"/>
        <v/>
      </c>
    </row>
    <row r="60" spans="1:44" ht="19" customHeight="1" x14ac:dyDescent="0.3">
      <c r="A60" s="67" t="s">
        <v>127</v>
      </c>
      <c r="B60" s="67"/>
      <c r="C60" s="67"/>
      <c r="D60" s="89">
        <f>持有情况!AB94-ROW()*0.00001</f>
        <v>208.99940000000001</v>
      </c>
      <c r="E60" s="89">
        <v>3</v>
      </c>
      <c r="F60" s="90">
        <v>0</v>
      </c>
      <c r="G60" s="89">
        <v>3</v>
      </c>
      <c r="H60" s="89">
        <v>1</v>
      </c>
      <c r="I60" s="84" t="s">
        <v>287</v>
      </c>
      <c r="J60" s="89">
        <f>IF(路线!C6="计算",INT((8.5/100)*路线!B13+11*路线!B35+9*路线!B28+17*路线!B21+40+20)-ROW()*0.00001,INT((8.5/100)*路线!B13+11*路线!B35+9*路线!B28+17*路线!B21+40)-ROW()*0.00001)</f>
        <v>208.99940000000001</v>
      </c>
      <c r="K60" s="1"/>
      <c r="L60" s="84" t="str">
        <f t="shared" si="18"/>
        <v/>
      </c>
      <c r="M60" s="84" t="str">
        <f t="shared" si="19"/>
        <v/>
      </c>
      <c r="N60" s="84" t="str">
        <f t="shared" si="20"/>
        <v/>
      </c>
      <c r="O60" s="84" t="str">
        <f t="shared" si="21"/>
        <v/>
      </c>
      <c r="P60" s="84" t="str">
        <f t="shared" si="22"/>
        <v/>
      </c>
      <c r="Q60" s="84" t="str">
        <f t="shared" si="23"/>
        <v/>
      </c>
      <c r="R60" s="84" t="str">
        <f t="shared" si="24"/>
        <v/>
      </c>
      <c r="S60" s="84" t="str">
        <f t="shared" si="25"/>
        <v/>
      </c>
      <c r="T60" s="84">
        <f t="shared" si="26"/>
        <v>208.99940000000001</v>
      </c>
      <c r="U60" s="1"/>
      <c r="V60" s="1"/>
      <c r="W60" s="1"/>
      <c r="X60" s="1"/>
      <c r="Y60" s="1"/>
      <c r="Z60" s="1"/>
      <c r="AA60" s="1"/>
      <c r="AB60" s="1"/>
      <c r="AC60" s="1"/>
      <c r="AD60" s="84" t="str">
        <f t="shared" si="27"/>
        <v/>
      </c>
      <c r="AE60" s="84" t="str">
        <f t="shared" si="28"/>
        <v/>
      </c>
      <c r="AF60" s="84" t="str">
        <f t="shared" si="29"/>
        <v/>
      </c>
      <c r="AG60" s="1"/>
      <c r="AH60" s="1"/>
      <c r="AI60" s="1"/>
      <c r="AJ60" s="84" t="str">
        <f t="shared" si="30"/>
        <v/>
      </c>
      <c r="AK60" s="84" t="str">
        <f t="shared" si="31"/>
        <v/>
      </c>
      <c r="AL60" s="84" t="str">
        <f t="shared" si="32"/>
        <v/>
      </c>
      <c r="AM60" s="1"/>
      <c r="AN60" s="1"/>
      <c r="AO60" s="1"/>
      <c r="AP60" s="84" t="str">
        <f t="shared" si="33"/>
        <v/>
      </c>
      <c r="AQ60" s="84" t="str">
        <f t="shared" si="34"/>
        <v/>
      </c>
      <c r="AR60" s="84">
        <f t="shared" si="35"/>
        <v>208.99940000000001</v>
      </c>
    </row>
    <row r="61" spans="1:44" ht="19" customHeight="1" x14ac:dyDescent="0.3">
      <c r="A61" s="75" t="s">
        <v>92</v>
      </c>
      <c r="B61" s="75"/>
      <c r="C61" s="75"/>
      <c r="D61" s="89">
        <f>持有情况!R64-ROW()*0.00001</f>
        <v>170.99939000000001</v>
      </c>
      <c r="E61" s="89">
        <v>2</v>
      </c>
      <c r="F61" s="89">
        <v>1</v>
      </c>
      <c r="G61" s="89">
        <v>2</v>
      </c>
      <c r="H61" s="89">
        <v>1</v>
      </c>
      <c r="I61" s="84" t="s">
        <v>312</v>
      </c>
      <c r="J61" s="89">
        <f>IF(路线!C6="计算",INT(60+17*路线!B21+17*路线!B34+40+20)-ROW()*0.00001,INT(60+17*路线!B21+17*路线!B34+40)-ROW()*0.00001)</f>
        <v>170.99939000000001</v>
      </c>
      <c r="K61" s="1"/>
      <c r="L61" s="84" t="str">
        <f t="shared" si="18"/>
        <v/>
      </c>
      <c r="M61" s="84" t="str">
        <f t="shared" si="19"/>
        <v/>
      </c>
      <c r="N61" s="84" t="str">
        <f t="shared" si="20"/>
        <v/>
      </c>
      <c r="O61" s="84" t="str">
        <f t="shared" si="21"/>
        <v/>
      </c>
      <c r="P61" s="84">
        <f t="shared" si="22"/>
        <v>170.99939000000001</v>
      </c>
      <c r="Q61" s="84" t="str">
        <f t="shared" si="23"/>
        <v/>
      </c>
      <c r="R61" s="84" t="str">
        <f t="shared" si="24"/>
        <v/>
      </c>
      <c r="S61" s="84" t="str">
        <f t="shared" si="25"/>
        <v/>
      </c>
      <c r="T61" s="84" t="str">
        <f t="shared" si="26"/>
        <v/>
      </c>
      <c r="U61" s="1"/>
      <c r="V61" s="1"/>
      <c r="W61" s="1"/>
      <c r="X61" s="1"/>
      <c r="Y61" s="1"/>
      <c r="Z61" s="1"/>
      <c r="AA61" s="1"/>
      <c r="AB61" s="1"/>
      <c r="AC61" s="1"/>
      <c r="AD61" s="84" t="str">
        <f t="shared" si="27"/>
        <v/>
      </c>
      <c r="AE61" s="84" t="str">
        <f t="shared" si="28"/>
        <v/>
      </c>
      <c r="AF61" s="84" t="str">
        <f t="shared" si="29"/>
        <v/>
      </c>
      <c r="AG61" s="1"/>
      <c r="AH61" s="1"/>
      <c r="AI61" s="1"/>
      <c r="AJ61" s="84" t="str">
        <f t="shared" si="30"/>
        <v/>
      </c>
      <c r="AK61" s="84">
        <f t="shared" si="31"/>
        <v>170.99939000000001</v>
      </c>
      <c r="AL61" s="84" t="str">
        <f t="shared" si="32"/>
        <v/>
      </c>
      <c r="AM61" s="1"/>
      <c r="AN61" s="1"/>
      <c r="AO61" s="1"/>
      <c r="AP61" s="84" t="str">
        <f t="shared" si="33"/>
        <v/>
      </c>
      <c r="AQ61" s="84" t="str">
        <f t="shared" si="34"/>
        <v/>
      </c>
      <c r="AR61" s="84" t="str">
        <f t="shared" si="35"/>
        <v/>
      </c>
    </row>
    <row r="62" spans="1:44" ht="19" customHeight="1" x14ac:dyDescent="0.3">
      <c r="A62" s="67" t="s">
        <v>57</v>
      </c>
      <c r="B62" s="67"/>
      <c r="C62" s="67"/>
      <c r="D62" s="89">
        <f>持有情况!AB34-ROW()*0.00001</f>
        <v>143.99938</v>
      </c>
      <c r="E62" s="90">
        <v>0</v>
      </c>
      <c r="F62" s="90">
        <v>0</v>
      </c>
      <c r="G62" s="89">
        <v>3</v>
      </c>
      <c r="H62" s="89">
        <v>1</v>
      </c>
      <c r="I62" s="84" t="s">
        <v>333</v>
      </c>
      <c r="J62" s="89">
        <f>INT(60+6*路线!B20+22*路线!B32+40)-ROW()*0.00001</f>
        <v>143.99938</v>
      </c>
      <c r="K62" s="1"/>
      <c r="L62" s="84" t="str">
        <f t="shared" si="18"/>
        <v/>
      </c>
      <c r="M62" s="84" t="str">
        <f t="shared" si="19"/>
        <v/>
      </c>
      <c r="N62" s="84" t="str">
        <f t="shared" si="20"/>
        <v/>
      </c>
      <c r="O62" s="84" t="str">
        <f t="shared" si="21"/>
        <v/>
      </c>
      <c r="P62" s="84" t="str">
        <f t="shared" si="22"/>
        <v/>
      </c>
      <c r="Q62" s="84" t="str">
        <f t="shared" si="23"/>
        <v/>
      </c>
      <c r="R62" s="84">
        <f t="shared" si="24"/>
        <v>143.99938</v>
      </c>
      <c r="S62" s="84">
        <f t="shared" si="25"/>
        <v>143.99938</v>
      </c>
      <c r="T62" s="84">
        <f t="shared" si="26"/>
        <v>143.99938</v>
      </c>
      <c r="U62" s="1"/>
      <c r="V62" s="1"/>
      <c r="W62" s="1"/>
      <c r="X62" s="1"/>
      <c r="Y62" s="1"/>
      <c r="Z62" s="1"/>
      <c r="AA62" s="1"/>
      <c r="AB62" s="1"/>
      <c r="AC62" s="1"/>
      <c r="AD62" s="84" t="str">
        <f t="shared" si="27"/>
        <v/>
      </c>
      <c r="AE62" s="84" t="str">
        <f t="shared" si="28"/>
        <v/>
      </c>
      <c r="AF62" s="84">
        <f t="shared" si="29"/>
        <v>143.99938</v>
      </c>
      <c r="AG62" s="1"/>
      <c r="AH62" s="1"/>
      <c r="AI62" s="1"/>
      <c r="AJ62" s="84" t="str">
        <f t="shared" si="30"/>
        <v/>
      </c>
      <c r="AK62" s="84" t="str">
        <f t="shared" si="31"/>
        <v/>
      </c>
      <c r="AL62" s="84">
        <f t="shared" si="32"/>
        <v>143.99938</v>
      </c>
      <c r="AM62" s="1"/>
      <c r="AN62" s="1"/>
      <c r="AO62" s="1"/>
      <c r="AP62" s="84" t="str">
        <f t="shared" si="33"/>
        <v/>
      </c>
      <c r="AQ62" s="84" t="str">
        <f t="shared" si="34"/>
        <v/>
      </c>
      <c r="AR62" s="84">
        <f t="shared" si="35"/>
        <v>143.99938</v>
      </c>
    </row>
    <row r="63" spans="1:44" ht="19" customHeight="1" x14ac:dyDescent="0.3">
      <c r="A63" s="57" t="s">
        <v>94</v>
      </c>
      <c r="B63" s="57"/>
      <c r="C63" s="57"/>
      <c r="D63" s="89">
        <f>持有情况!AL64-ROW()*0.00001</f>
        <v>118.99937</v>
      </c>
      <c r="E63" s="90">
        <v>0</v>
      </c>
      <c r="F63" s="89">
        <v>1</v>
      </c>
      <c r="G63" s="89">
        <v>1</v>
      </c>
      <c r="H63" s="90">
        <v>0</v>
      </c>
      <c r="I63" s="1"/>
      <c r="J63" s="89">
        <f>INT(45+2*(路线!B23+路线!B24)+30)-ROW()*0.00001</f>
        <v>118.99937</v>
      </c>
      <c r="K63" s="1"/>
      <c r="L63" s="84">
        <f t="shared" si="18"/>
        <v>118.99937</v>
      </c>
      <c r="M63" s="84">
        <f t="shared" si="19"/>
        <v>118.99937</v>
      </c>
      <c r="N63" s="84">
        <f t="shared" si="20"/>
        <v>118.99937</v>
      </c>
      <c r="O63" s="84" t="str">
        <f t="shared" si="21"/>
        <v/>
      </c>
      <c r="P63" s="84" t="str">
        <f t="shared" si="22"/>
        <v/>
      </c>
      <c r="Q63" s="84" t="str">
        <f t="shared" si="23"/>
        <v/>
      </c>
      <c r="R63" s="84" t="str">
        <f t="shared" si="24"/>
        <v/>
      </c>
      <c r="S63" s="84" t="str">
        <f t="shared" si="25"/>
        <v/>
      </c>
      <c r="T63" s="84" t="str">
        <f t="shared" si="26"/>
        <v/>
      </c>
      <c r="U63" s="1"/>
      <c r="V63" s="1"/>
      <c r="W63" s="1"/>
      <c r="X63" s="1"/>
      <c r="Y63" s="1"/>
      <c r="Z63" s="1"/>
      <c r="AA63" s="1"/>
      <c r="AB63" s="1"/>
      <c r="AC63" s="1"/>
      <c r="AD63" s="84">
        <f t="shared" si="27"/>
        <v>118.99937</v>
      </c>
      <c r="AE63" s="84" t="str">
        <f t="shared" si="28"/>
        <v/>
      </c>
      <c r="AF63" s="84" t="str">
        <f t="shared" si="29"/>
        <v/>
      </c>
      <c r="AG63" s="1"/>
      <c r="AH63" s="1"/>
      <c r="AI63" s="1"/>
      <c r="AJ63" s="84">
        <f t="shared" si="30"/>
        <v>118.99937</v>
      </c>
      <c r="AK63" s="84" t="str">
        <f t="shared" si="31"/>
        <v/>
      </c>
      <c r="AL63" s="84" t="str">
        <f t="shared" si="32"/>
        <v/>
      </c>
      <c r="AM63" s="1"/>
      <c r="AN63" s="1"/>
      <c r="AO63" s="1"/>
      <c r="AP63" s="84">
        <f t="shared" si="33"/>
        <v>118.99937</v>
      </c>
      <c r="AQ63" s="84" t="str">
        <f t="shared" si="34"/>
        <v/>
      </c>
      <c r="AR63" s="84" t="str">
        <f t="shared" si="35"/>
        <v/>
      </c>
    </row>
    <row r="64" spans="1:44" ht="19" customHeight="1" x14ac:dyDescent="0.3">
      <c r="A64" s="57" t="s">
        <v>63</v>
      </c>
      <c r="B64" s="57"/>
      <c r="C64" s="57"/>
      <c r="D64" s="89">
        <f>持有情况!H40-ROW()*0.00001</f>
        <v>98.999359999999996</v>
      </c>
      <c r="E64" s="90">
        <v>0</v>
      </c>
      <c r="F64" s="90">
        <v>0</v>
      </c>
      <c r="G64" s="89">
        <v>1</v>
      </c>
      <c r="H64" s="89">
        <v>1</v>
      </c>
      <c r="I64" s="84" t="s">
        <v>288</v>
      </c>
      <c r="J64" s="89">
        <f>IF(路线!C6="计算",INT((8.5/100)*路线!B13+17*路线!B21+9*路线!B29+40+20)-ROW()*0.00001,INT((8.5/100)*路线!B13+17*路线!B21+9*路线!B29+40)-ROW()*0.00001)</f>
        <v>98.999359999999996</v>
      </c>
      <c r="K64" s="1"/>
      <c r="L64" s="84">
        <f t="shared" si="18"/>
        <v>98.999359999999996</v>
      </c>
      <c r="M64" s="84">
        <f t="shared" si="19"/>
        <v>98.999359999999996</v>
      </c>
      <c r="N64" s="84">
        <f t="shared" si="20"/>
        <v>98.999359999999996</v>
      </c>
      <c r="O64" s="84" t="str">
        <f t="shared" si="21"/>
        <v/>
      </c>
      <c r="P64" s="84" t="str">
        <f t="shared" si="22"/>
        <v/>
      </c>
      <c r="Q64" s="84" t="str">
        <f t="shared" si="23"/>
        <v/>
      </c>
      <c r="R64" s="84" t="str">
        <f t="shared" si="24"/>
        <v/>
      </c>
      <c r="S64" s="84" t="str">
        <f t="shared" si="25"/>
        <v/>
      </c>
      <c r="T64" s="84" t="str">
        <f t="shared" si="26"/>
        <v/>
      </c>
      <c r="U64" s="1"/>
      <c r="V64" s="1"/>
      <c r="W64" s="1"/>
      <c r="X64" s="1"/>
      <c r="Y64" s="1"/>
      <c r="Z64" s="1"/>
      <c r="AA64" s="1"/>
      <c r="AB64" s="1"/>
      <c r="AC64" s="1"/>
      <c r="AD64" s="84">
        <f t="shared" si="27"/>
        <v>98.999359999999996</v>
      </c>
      <c r="AE64" s="84" t="str">
        <f t="shared" si="28"/>
        <v/>
      </c>
      <c r="AF64" s="84" t="str">
        <f t="shared" si="29"/>
        <v/>
      </c>
      <c r="AG64" s="1"/>
      <c r="AH64" s="1"/>
      <c r="AI64" s="1"/>
      <c r="AJ64" s="84">
        <f t="shared" si="30"/>
        <v>98.999359999999996</v>
      </c>
      <c r="AK64" s="84" t="str">
        <f t="shared" si="31"/>
        <v/>
      </c>
      <c r="AL64" s="84" t="str">
        <f t="shared" si="32"/>
        <v/>
      </c>
      <c r="AM64" s="1"/>
      <c r="AN64" s="1"/>
      <c r="AO64" s="1"/>
      <c r="AP64" s="84">
        <f t="shared" si="33"/>
        <v>98.999359999999996</v>
      </c>
      <c r="AQ64" s="84" t="str">
        <f t="shared" si="34"/>
        <v/>
      </c>
      <c r="AR64" s="84" t="str">
        <f t="shared" si="35"/>
        <v/>
      </c>
    </row>
    <row r="65" spans="1:44" ht="19" customHeight="1" x14ac:dyDescent="0.3">
      <c r="A65" s="67" t="s">
        <v>103</v>
      </c>
      <c r="B65" s="67"/>
      <c r="C65" s="67"/>
      <c r="D65" s="89">
        <f>持有情况!BF70-ROW()*0.00001</f>
        <v>65.999350000000007</v>
      </c>
      <c r="E65" s="89">
        <v>3</v>
      </c>
      <c r="F65" s="89">
        <v>1</v>
      </c>
      <c r="G65" s="89">
        <v>3</v>
      </c>
      <c r="H65" s="89">
        <v>1</v>
      </c>
      <c r="I65" s="84" t="s">
        <v>303</v>
      </c>
      <c r="J65" s="89">
        <f>IF(路线!C6="计算",INT((6.4/100)*路线!B13+10*路线!B31+13*路线!B21+30+20)-ROW()*0.00001,INT((6.4/100)*路线!B13+10*路线!B31+13*路线!B21+30)-ROW()*0.00001)</f>
        <v>65.999350000000007</v>
      </c>
      <c r="K65" s="1"/>
      <c r="L65" s="84" t="str">
        <f t="shared" si="18"/>
        <v/>
      </c>
      <c r="M65" s="84" t="str">
        <f t="shared" si="19"/>
        <v/>
      </c>
      <c r="N65" s="84" t="str">
        <f t="shared" si="20"/>
        <v/>
      </c>
      <c r="O65" s="84" t="str">
        <f t="shared" si="21"/>
        <v/>
      </c>
      <c r="P65" s="84" t="str">
        <f t="shared" si="22"/>
        <v/>
      </c>
      <c r="Q65" s="84" t="str">
        <f t="shared" si="23"/>
        <v/>
      </c>
      <c r="R65" s="84" t="str">
        <f t="shared" si="24"/>
        <v/>
      </c>
      <c r="S65" s="84" t="str">
        <f t="shared" si="25"/>
        <v/>
      </c>
      <c r="T65" s="84">
        <f t="shared" si="26"/>
        <v>65.999350000000007</v>
      </c>
      <c r="U65" s="1"/>
      <c r="V65" s="1"/>
      <c r="W65" s="1"/>
      <c r="X65" s="1"/>
      <c r="Y65" s="1"/>
      <c r="Z65" s="1"/>
      <c r="AA65" s="1"/>
      <c r="AB65" s="1"/>
      <c r="AC65" s="1"/>
      <c r="AD65" s="84" t="str">
        <f t="shared" si="27"/>
        <v/>
      </c>
      <c r="AE65" s="84" t="str">
        <f t="shared" si="28"/>
        <v/>
      </c>
      <c r="AF65" s="84" t="str">
        <f t="shared" si="29"/>
        <v/>
      </c>
      <c r="AG65" s="1"/>
      <c r="AH65" s="1"/>
      <c r="AI65" s="1"/>
      <c r="AJ65" s="84" t="str">
        <f t="shared" si="30"/>
        <v/>
      </c>
      <c r="AK65" s="84" t="str">
        <f t="shared" si="31"/>
        <v/>
      </c>
      <c r="AL65" s="84" t="str">
        <f t="shared" si="32"/>
        <v/>
      </c>
      <c r="AM65" s="1"/>
      <c r="AN65" s="1"/>
      <c r="AO65" s="1"/>
      <c r="AP65" s="84" t="str">
        <f t="shared" si="33"/>
        <v/>
      </c>
      <c r="AQ65" s="84" t="str">
        <f t="shared" si="34"/>
        <v/>
      </c>
      <c r="AR65" s="84">
        <f t="shared" si="35"/>
        <v>65.999350000000007</v>
      </c>
    </row>
    <row r="66" spans="1:44" ht="19" customHeight="1" x14ac:dyDescent="0.3">
      <c r="A66" s="67" t="s">
        <v>61</v>
      </c>
      <c r="B66" s="67"/>
      <c r="C66" s="67"/>
      <c r="D66" s="89">
        <f>IF(路线!B4="计算",持有情况!BG36,持有情况!BF34)-ROW()*0.00001</f>
        <v>137.99933999999999</v>
      </c>
      <c r="E66" s="89">
        <v>2</v>
      </c>
      <c r="F66" s="90">
        <v>0</v>
      </c>
      <c r="G66" s="89">
        <v>3</v>
      </c>
      <c r="H66" s="90">
        <v>0</v>
      </c>
      <c r="I66" s="1"/>
      <c r="J66" s="89">
        <f>IF(路线!B4="计算",INT((6.4/100)*路线!B13+8*路线!B33+13*路线!B21+30+持有情况!BG33),INT((6.4/100)*路线!B13+8*路线!B33+13*路线!B21+30))-ROW()*0.00001</f>
        <v>137.99933999999999</v>
      </c>
      <c r="K66" s="1"/>
      <c r="L66" s="84" t="str">
        <f t="shared" ref="L66:L97" si="36">IF(AND(OR(E66=1,E66=0),G66=1),D66,"")</f>
        <v/>
      </c>
      <c r="M66" s="84" t="str">
        <f t="shared" ref="M66:M97" si="37">IF(AND(OR(E66=2,E66=0),G66=1),D66,"")</f>
        <v/>
      </c>
      <c r="N66" s="84" t="str">
        <f t="shared" ref="N66:N97" si="38">IF(AND(OR(E66=3,E66=0),G66=1),D66,"")</f>
        <v/>
      </c>
      <c r="O66" s="84" t="str">
        <f t="shared" ref="O66:O97" si="39">IF(AND(OR(E66=1,E66=0),G66=2),D66,"")</f>
        <v/>
      </c>
      <c r="P66" s="84" t="str">
        <f t="shared" ref="P66:P97" si="40">IF(AND(OR(E66=2,E66=0),G66=2),D66,"")</f>
        <v/>
      </c>
      <c r="Q66" s="84" t="str">
        <f t="shared" ref="Q66:Q97" si="41">IF(AND(OR(E66=3,E66=0),G66=2),D66,"")</f>
        <v/>
      </c>
      <c r="R66" s="84" t="str">
        <f t="shared" ref="R66:R97" si="42">IF(AND(OR(E66=1,E66=0),G66=3),D66,"")</f>
        <v/>
      </c>
      <c r="S66" s="84">
        <f t="shared" ref="S66:S97" si="43">IF(AND(OR(E66=2,E66=0),G66=3),D66,"")</f>
        <v>137.99933999999999</v>
      </c>
      <c r="T66" s="84" t="str">
        <f t="shared" ref="T66:T97" si="44">IF(AND(OR(E66=3,E66=0),G66=3),D66,"")</f>
        <v/>
      </c>
      <c r="U66" s="1"/>
      <c r="V66" s="1"/>
      <c r="W66" s="1"/>
      <c r="X66" s="1"/>
      <c r="Y66" s="1"/>
      <c r="Z66" s="1"/>
      <c r="AA66" s="1"/>
      <c r="AB66" s="1"/>
      <c r="AC66" s="1"/>
      <c r="AD66" s="84" t="str">
        <f t="shared" ref="AD66:AD97" si="45">IF(AND(OR(E66=1,E66=0),G66=1),J66,"")</f>
        <v/>
      </c>
      <c r="AE66" s="84" t="str">
        <f t="shared" ref="AE66:AE97" si="46">IF(AND(OR(E66=1,E66=0),G66=2),J66,"")</f>
        <v/>
      </c>
      <c r="AF66" s="84" t="str">
        <f t="shared" ref="AF66:AF97" si="47">IF(AND(OR(E66=1,E66=0),G66=3),J66,"")</f>
        <v/>
      </c>
      <c r="AG66" s="1"/>
      <c r="AH66" s="1"/>
      <c r="AI66" s="1"/>
      <c r="AJ66" s="84" t="str">
        <f t="shared" ref="AJ66:AJ97" si="48">IF(AND(OR(E66=2,E66=0),G66=1),J66,"")</f>
        <v/>
      </c>
      <c r="AK66" s="84" t="str">
        <f t="shared" ref="AK66:AK97" si="49">IF(AND(OR(E66=2,E66=0),G66=2),J66,"")</f>
        <v/>
      </c>
      <c r="AL66" s="84">
        <f t="shared" ref="AL66:AL97" si="50">IF(AND(OR(E66=2,E66=0),G66=3),J66,"")</f>
        <v>137.99933999999999</v>
      </c>
      <c r="AM66" s="1"/>
      <c r="AN66" s="1"/>
      <c r="AO66" s="1"/>
      <c r="AP66" s="84" t="str">
        <f t="shared" ref="AP66:AP97" si="51">IF(AND(OR(E66=3,E66=0),G66=1),J66,"")</f>
        <v/>
      </c>
      <c r="AQ66" s="84" t="str">
        <f t="shared" ref="AQ66:AQ97" si="52">IF(AND(OR(E66=3,E66=0),G66=2),J66,"")</f>
        <v/>
      </c>
      <c r="AR66" s="84" t="str">
        <f t="shared" ref="AR66:AR97" si="53">IF(AND(OR(E66=3,E66=0),G66=3),J66,"")</f>
        <v/>
      </c>
    </row>
    <row r="67" spans="1:44" ht="19" customHeight="1" x14ac:dyDescent="0.3">
      <c r="A67" s="75" t="s">
        <v>107</v>
      </c>
      <c r="B67" s="75"/>
      <c r="C67" s="75"/>
      <c r="D67" s="89">
        <f>持有情况!R76-ROW()*0.00001</f>
        <v>146.99932999999999</v>
      </c>
      <c r="E67" s="89">
        <v>1</v>
      </c>
      <c r="F67" s="90">
        <v>0</v>
      </c>
      <c r="G67" s="89">
        <v>2</v>
      </c>
      <c r="H67" s="89">
        <v>1</v>
      </c>
      <c r="I67" s="84" t="s">
        <v>289</v>
      </c>
      <c r="J67" s="89">
        <f>IF(路线!C6="计算",INT((8.5/100)*路线!B13+11*路线!B33+17*路线!B21+22+40+20)-ROW()*0.00001,INT((8.5/100)*路线!B13+11*路线!B33+17*路线!B21+22+40)-ROW()*0.00001)</f>
        <v>146.99932999999999</v>
      </c>
      <c r="K67" s="1"/>
      <c r="L67" s="84" t="str">
        <f t="shared" si="36"/>
        <v/>
      </c>
      <c r="M67" s="84" t="str">
        <f t="shared" si="37"/>
        <v/>
      </c>
      <c r="N67" s="84" t="str">
        <f t="shared" si="38"/>
        <v/>
      </c>
      <c r="O67" s="84">
        <f t="shared" si="39"/>
        <v>146.99932999999999</v>
      </c>
      <c r="P67" s="84" t="str">
        <f t="shared" si="40"/>
        <v/>
      </c>
      <c r="Q67" s="84" t="str">
        <f t="shared" si="41"/>
        <v/>
      </c>
      <c r="R67" s="84" t="str">
        <f t="shared" si="42"/>
        <v/>
      </c>
      <c r="S67" s="84" t="str">
        <f t="shared" si="43"/>
        <v/>
      </c>
      <c r="T67" s="84" t="str">
        <f t="shared" si="44"/>
        <v/>
      </c>
      <c r="U67" s="1"/>
      <c r="V67" s="1"/>
      <c r="W67" s="1"/>
      <c r="X67" s="1"/>
      <c r="Y67" s="1"/>
      <c r="Z67" s="1"/>
      <c r="AA67" s="1"/>
      <c r="AB67" s="1"/>
      <c r="AC67" s="1"/>
      <c r="AD67" s="84" t="str">
        <f t="shared" si="45"/>
        <v/>
      </c>
      <c r="AE67" s="84">
        <f t="shared" si="46"/>
        <v>146.99932999999999</v>
      </c>
      <c r="AF67" s="84" t="str">
        <f t="shared" si="47"/>
        <v/>
      </c>
      <c r="AG67" s="1"/>
      <c r="AH67" s="1"/>
      <c r="AI67" s="1"/>
      <c r="AJ67" s="84" t="str">
        <f t="shared" si="48"/>
        <v/>
      </c>
      <c r="AK67" s="84" t="str">
        <f t="shared" si="49"/>
        <v/>
      </c>
      <c r="AL67" s="84" t="str">
        <f t="shared" si="50"/>
        <v/>
      </c>
      <c r="AM67" s="1"/>
      <c r="AN67" s="1"/>
      <c r="AO67" s="1"/>
      <c r="AP67" s="84" t="str">
        <f t="shared" si="51"/>
        <v/>
      </c>
      <c r="AQ67" s="84" t="str">
        <f t="shared" si="52"/>
        <v/>
      </c>
      <c r="AR67" s="84" t="str">
        <f t="shared" si="53"/>
        <v/>
      </c>
    </row>
    <row r="68" spans="1:44" ht="19" customHeight="1" x14ac:dyDescent="0.3">
      <c r="A68" s="75" t="s">
        <v>117</v>
      </c>
      <c r="B68" s="75"/>
      <c r="C68" s="75"/>
      <c r="D68" s="89">
        <f>持有情况!AV82-ROW()*0.00001</f>
        <v>119.99932</v>
      </c>
      <c r="E68" s="90">
        <v>0</v>
      </c>
      <c r="F68" s="90">
        <v>0</v>
      </c>
      <c r="G68" s="89">
        <v>2</v>
      </c>
      <c r="H68" s="90">
        <v>0</v>
      </c>
      <c r="I68" s="1"/>
      <c r="J68" s="89">
        <f>INT(45+3*(路线!B28+路线!B29)+11*路线!B34+13*路线!B21+30)-ROW()*0.00001</f>
        <v>119.99932</v>
      </c>
      <c r="K68" s="1"/>
      <c r="L68" s="84" t="str">
        <f t="shared" si="36"/>
        <v/>
      </c>
      <c r="M68" s="84" t="str">
        <f t="shared" si="37"/>
        <v/>
      </c>
      <c r="N68" s="84" t="str">
        <f t="shared" si="38"/>
        <v/>
      </c>
      <c r="O68" s="84">
        <f t="shared" si="39"/>
        <v>119.99932</v>
      </c>
      <c r="P68" s="84">
        <f t="shared" si="40"/>
        <v>119.99932</v>
      </c>
      <c r="Q68" s="84">
        <f t="shared" si="41"/>
        <v>119.99932</v>
      </c>
      <c r="R68" s="84" t="str">
        <f t="shared" si="42"/>
        <v/>
      </c>
      <c r="S68" s="84" t="str">
        <f t="shared" si="43"/>
        <v/>
      </c>
      <c r="T68" s="84" t="str">
        <f t="shared" si="44"/>
        <v/>
      </c>
      <c r="U68" s="1"/>
      <c r="V68" s="1"/>
      <c r="W68" s="1"/>
      <c r="X68" s="1"/>
      <c r="Y68" s="1"/>
      <c r="Z68" s="1"/>
      <c r="AA68" s="1"/>
      <c r="AB68" s="1"/>
      <c r="AC68" s="1"/>
      <c r="AD68" s="84" t="str">
        <f t="shared" si="45"/>
        <v/>
      </c>
      <c r="AE68" s="84">
        <f t="shared" si="46"/>
        <v>119.99932</v>
      </c>
      <c r="AF68" s="84" t="str">
        <f t="shared" si="47"/>
        <v/>
      </c>
      <c r="AG68" s="1"/>
      <c r="AH68" s="1"/>
      <c r="AI68" s="1"/>
      <c r="AJ68" s="84" t="str">
        <f t="shared" si="48"/>
        <v/>
      </c>
      <c r="AK68" s="84">
        <f t="shared" si="49"/>
        <v>119.99932</v>
      </c>
      <c r="AL68" s="84" t="str">
        <f t="shared" si="50"/>
        <v/>
      </c>
      <c r="AM68" s="1"/>
      <c r="AN68" s="1"/>
      <c r="AO68" s="1"/>
      <c r="AP68" s="84" t="str">
        <f t="shared" si="51"/>
        <v/>
      </c>
      <c r="AQ68" s="84">
        <f t="shared" si="52"/>
        <v>119.99932</v>
      </c>
      <c r="AR68" s="84" t="str">
        <f t="shared" si="53"/>
        <v/>
      </c>
    </row>
    <row r="69" spans="1:44" ht="19" customHeight="1" x14ac:dyDescent="0.3">
      <c r="A69" s="67" t="s">
        <v>90</v>
      </c>
      <c r="B69" s="67"/>
      <c r="C69" s="67"/>
      <c r="D69" s="89">
        <f>持有情况!BF58-ROW()*0.00001</f>
        <v>106.99930999999999</v>
      </c>
      <c r="E69" s="90">
        <v>0</v>
      </c>
      <c r="F69" s="90">
        <v>0</v>
      </c>
      <c r="G69" s="89">
        <v>3</v>
      </c>
      <c r="H69" s="89">
        <v>1</v>
      </c>
      <c r="I69" s="84" t="s">
        <v>325</v>
      </c>
      <c r="J69" s="89">
        <f>IF(路线!C6="计算",INT(45+3*(路线!B28+路线!B29)+13*路线!B21+30+20)-ROW()*0.00001,INT(45+3*(路线!B28+路线!B29)+13*路线!B21+30)-ROW()*0.00001)</f>
        <v>106.99930999999999</v>
      </c>
      <c r="K69" s="1"/>
      <c r="L69" s="84" t="str">
        <f t="shared" si="36"/>
        <v/>
      </c>
      <c r="M69" s="84" t="str">
        <f t="shared" si="37"/>
        <v/>
      </c>
      <c r="N69" s="84" t="str">
        <f t="shared" si="38"/>
        <v/>
      </c>
      <c r="O69" s="84" t="str">
        <f t="shared" si="39"/>
        <v/>
      </c>
      <c r="P69" s="84" t="str">
        <f t="shared" si="40"/>
        <v/>
      </c>
      <c r="Q69" s="84" t="str">
        <f t="shared" si="41"/>
        <v/>
      </c>
      <c r="R69" s="84">
        <f t="shared" si="42"/>
        <v>106.99930999999999</v>
      </c>
      <c r="S69" s="84">
        <f t="shared" si="43"/>
        <v>106.99930999999999</v>
      </c>
      <c r="T69" s="84">
        <f t="shared" si="44"/>
        <v>106.99930999999999</v>
      </c>
      <c r="U69" s="1"/>
      <c r="V69" s="1"/>
      <c r="W69" s="1"/>
      <c r="X69" s="1"/>
      <c r="Y69" s="1"/>
      <c r="Z69" s="1"/>
      <c r="AA69" s="1"/>
      <c r="AB69" s="1"/>
      <c r="AC69" s="1"/>
      <c r="AD69" s="84" t="str">
        <f t="shared" si="45"/>
        <v/>
      </c>
      <c r="AE69" s="84" t="str">
        <f t="shared" si="46"/>
        <v/>
      </c>
      <c r="AF69" s="84">
        <f t="shared" si="47"/>
        <v>106.99930999999999</v>
      </c>
      <c r="AG69" s="1"/>
      <c r="AH69" s="1"/>
      <c r="AI69" s="1"/>
      <c r="AJ69" s="84" t="str">
        <f t="shared" si="48"/>
        <v/>
      </c>
      <c r="AK69" s="84" t="str">
        <f t="shared" si="49"/>
        <v/>
      </c>
      <c r="AL69" s="84">
        <f t="shared" si="50"/>
        <v>106.99930999999999</v>
      </c>
      <c r="AM69" s="1"/>
      <c r="AN69" s="1"/>
      <c r="AO69" s="1"/>
      <c r="AP69" s="84" t="str">
        <f t="shared" si="51"/>
        <v/>
      </c>
      <c r="AQ69" s="84" t="str">
        <f t="shared" si="52"/>
        <v/>
      </c>
      <c r="AR69" s="84">
        <f t="shared" si="53"/>
        <v>106.99930999999999</v>
      </c>
    </row>
    <row r="70" spans="1:44" ht="19" customHeight="1" x14ac:dyDescent="0.3">
      <c r="A70" s="67" t="s">
        <v>6</v>
      </c>
      <c r="B70" s="67"/>
      <c r="C70" s="67"/>
      <c r="D70" s="89">
        <f>持有情况!BF4-ROW()*0.00001</f>
        <v>120.99930000000001</v>
      </c>
      <c r="E70" s="90">
        <v>0</v>
      </c>
      <c r="F70" s="90">
        <v>0</v>
      </c>
      <c r="G70" s="89">
        <v>3</v>
      </c>
      <c r="H70" s="90">
        <v>0</v>
      </c>
      <c r="I70" s="1"/>
      <c r="J70" s="89">
        <f>INT(45+17*路线!B32+3*(路线!B28+路线!B29)+30)-ROW()*0.00001</f>
        <v>120.99930000000001</v>
      </c>
      <c r="K70" s="1"/>
      <c r="L70" s="84" t="str">
        <f t="shared" si="36"/>
        <v/>
      </c>
      <c r="M70" s="84" t="str">
        <f t="shared" si="37"/>
        <v/>
      </c>
      <c r="N70" s="84" t="str">
        <f t="shared" si="38"/>
        <v/>
      </c>
      <c r="O70" s="84" t="str">
        <f t="shared" si="39"/>
        <v/>
      </c>
      <c r="P70" s="84" t="str">
        <f t="shared" si="40"/>
        <v/>
      </c>
      <c r="Q70" s="84" t="str">
        <f t="shared" si="41"/>
        <v/>
      </c>
      <c r="R70" s="84">
        <f t="shared" si="42"/>
        <v>120.99930000000001</v>
      </c>
      <c r="S70" s="84">
        <f t="shared" si="43"/>
        <v>120.99930000000001</v>
      </c>
      <c r="T70" s="84">
        <f t="shared" si="44"/>
        <v>120.99930000000001</v>
      </c>
      <c r="U70" s="1"/>
      <c r="V70" s="1"/>
      <c r="W70" s="1"/>
      <c r="X70" s="1"/>
      <c r="Y70" s="1"/>
      <c r="Z70" s="1"/>
      <c r="AA70" s="1"/>
      <c r="AB70" s="1"/>
      <c r="AC70" s="1"/>
      <c r="AD70" s="84" t="str">
        <f t="shared" si="45"/>
        <v/>
      </c>
      <c r="AE70" s="84" t="str">
        <f t="shared" si="46"/>
        <v/>
      </c>
      <c r="AF70" s="84">
        <f t="shared" si="47"/>
        <v>120.99930000000001</v>
      </c>
      <c r="AG70" s="1"/>
      <c r="AH70" s="1"/>
      <c r="AI70" s="1"/>
      <c r="AJ70" s="84" t="str">
        <f t="shared" si="48"/>
        <v/>
      </c>
      <c r="AK70" s="84" t="str">
        <f t="shared" si="49"/>
        <v/>
      </c>
      <c r="AL70" s="84">
        <f t="shared" si="50"/>
        <v>120.99930000000001</v>
      </c>
      <c r="AM70" s="1"/>
      <c r="AN70" s="1"/>
      <c r="AO70" s="1"/>
      <c r="AP70" s="84" t="str">
        <f t="shared" si="51"/>
        <v/>
      </c>
      <c r="AQ70" s="84" t="str">
        <f t="shared" si="52"/>
        <v/>
      </c>
      <c r="AR70" s="84">
        <f t="shared" si="53"/>
        <v>120.99930000000001</v>
      </c>
    </row>
    <row r="71" spans="1:44" ht="19" customHeight="1" x14ac:dyDescent="0.3">
      <c r="A71" s="57" t="s">
        <v>48</v>
      </c>
      <c r="B71" s="57"/>
      <c r="C71" s="57"/>
      <c r="D71" s="89">
        <f>持有情况!H28-ROW()*0.00001</f>
        <v>94.999290000000002</v>
      </c>
      <c r="E71" s="89">
        <v>1</v>
      </c>
      <c r="F71" s="90">
        <v>0</v>
      </c>
      <c r="G71" s="89">
        <v>1</v>
      </c>
      <c r="H71" s="89">
        <v>1</v>
      </c>
      <c r="I71" s="84" t="s">
        <v>294</v>
      </c>
      <c r="J71" s="89">
        <f>IF(路线!C6="计算",INT(路线!B13*(8.5/100)+7*路线!B29+13*路线!B21+40+20)-ROW()*0.00001,INT(路线!B13*(8.5/100)+7*路线!B29+13*路线!B21+40)-ROW()*0.00001)</f>
        <v>94.999290000000002</v>
      </c>
      <c r="K71" s="1"/>
      <c r="L71" s="84">
        <f t="shared" si="36"/>
        <v>94.999290000000002</v>
      </c>
      <c r="M71" s="84" t="str">
        <f t="shared" si="37"/>
        <v/>
      </c>
      <c r="N71" s="84" t="str">
        <f t="shared" si="38"/>
        <v/>
      </c>
      <c r="O71" s="84" t="str">
        <f t="shared" si="39"/>
        <v/>
      </c>
      <c r="P71" s="84" t="str">
        <f t="shared" si="40"/>
        <v/>
      </c>
      <c r="Q71" s="84" t="str">
        <f t="shared" si="41"/>
        <v/>
      </c>
      <c r="R71" s="84" t="str">
        <f t="shared" si="42"/>
        <v/>
      </c>
      <c r="S71" s="84" t="str">
        <f t="shared" si="43"/>
        <v/>
      </c>
      <c r="T71" s="84" t="str">
        <f t="shared" si="44"/>
        <v/>
      </c>
      <c r="U71" s="1"/>
      <c r="V71" s="1"/>
      <c r="W71" s="1"/>
      <c r="X71" s="1"/>
      <c r="Y71" s="1"/>
      <c r="Z71" s="1"/>
      <c r="AA71" s="1"/>
      <c r="AB71" s="1"/>
      <c r="AC71" s="1"/>
      <c r="AD71" s="84">
        <f t="shared" si="45"/>
        <v>94.999290000000002</v>
      </c>
      <c r="AE71" s="84" t="str">
        <f t="shared" si="46"/>
        <v/>
      </c>
      <c r="AF71" s="84" t="str">
        <f t="shared" si="47"/>
        <v/>
      </c>
      <c r="AG71" s="1"/>
      <c r="AH71" s="1"/>
      <c r="AI71" s="1"/>
      <c r="AJ71" s="84" t="str">
        <f t="shared" si="48"/>
        <v/>
      </c>
      <c r="AK71" s="84" t="str">
        <f t="shared" si="49"/>
        <v/>
      </c>
      <c r="AL71" s="84" t="str">
        <f t="shared" si="50"/>
        <v/>
      </c>
      <c r="AM71" s="1"/>
      <c r="AN71" s="1"/>
      <c r="AO71" s="1"/>
      <c r="AP71" s="84" t="str">
        <f t="shared" si="51"/>
        <v/>
      </c>
      <c r="AQ71" s="84" t="str">
        <f t="shared" si="52"/>
        <v/>
      </c>
      <c r="AR71" s="84" t="str">
        <f t="shared" si="53"/>
        <v/>
      </c>
    </row>
    <row r="72" spans="1:44" ht="19" customHeight="1" x14ac:dyDescent="0.3">
      <c r="A72" s="75" t="s">
        <v>31</v>
      </c>
      <c r="B72" s="75"/>
      <c r="C72" s="75"/>
      <c r="D72" s="89">
        <f>持有情况!R16-ROW()*0.00001</f>
        <v>94.999279999999999</v>
      </c>
      <c r="E72" s="89">
        <v>2</v>
      </c>
      <c r="F72" s="90">
        <v>0</v>
      </c>
      <c r="G72" s="89">
        <v>2</v>
      </c>
      <c r="H72" s="89">
        <v>1</v>
      </c>
      <c r="I72" s="84" t="s">
        <v>295</v>
      </c>
      <c r="J72" s="89">
        <f>IF(路线!C6="计算",INT(路线!B13*(8.5/100)+7*路线!B29+13*路线!B21+40+20)-ROW()*0.00001,INT(路线!B13*(8.5/100)+7*路线!B29+13*路线!B21+40)-ROW()*0.00001)</f>
        <v>94.999279999999999</v>
      </c>
      <c r="K72" s="1"/>
      <c r="L72" s="84" t="str">
        <f t="shared" si="36"/>
        <v/>
      </c>
      <c r="M72" s="84" t="str">
        <f t="shared" si="37"/>
        <v/>
      </c>
      <c r="N72" s="84" t="str">
        <f t="shared" si="38"/>
        <v/>
      </c>
      <c r="O72" s="84" t="str">
        <f t="shared" si="39"/>
        <v/>
      </c>
      <c r="P72" s="84">
        <f t="shared" si="40"/>
        <v>94.999279999999999</v>
      </c>
      <c r="Q72" s="84" t="str">
        <f t="shared" si="41"/>
        <v/>
      </c>
      <c r="R72" s="84" t="str">
        <f t="shared" si="42"/>
        <v/>
      </c>
      <c r="S72" s="84" t="str">
        <f t="shared" si="43"/>
        <v/>
      </c>
      <c r="T72" s="84" t="str">
        <f t="shared" si="44"/>
        <v/>
      </c>
      <c r="U72" s="1"/>
      <c r="V72" s="1"/>
      <c r="W72" s="1"/>
      <c r="X72" s="1"/>
      <c r="Y72" s="1"/>
      <c r="Z72" s="1"/>
      <c r="AA72" s="1"/>
      <c r="AB72" s="1"/>
      <c r="AC72" s="1"/>
      <c r="AD72" s="84" t="str">
        <f t="shared" si="45"/>
        <v/>
      </c>
      <c r="AE72" s="84" t="str">
        <f t="shared" si="46"/>
        <v/>
      </c>
      <c r="AF72" s="84" t="str">
        <f t="shared" si="47"/>
        <v/>
      </c>
      <c r="AG72" s="1"/>
      <c r="AH72" s="1"/>
      <c r="AI72" s="1"/>
      <c r="AJ72" s="84" t="str">
        <f t="shared" si="48"/>
        <v/>
      </c>
      <c r="AK72" s="84">
        <f t="shared" si="49"/>
        <v>94.999279999999999</v>
      </c>
      <c r="AL72" s="84" t="str">
        <f t="shared" si="50"/>
        <v/>
      </c>
      <c r="AM72" s="1"/>
      <c r="AN72" s="1"/>
      <c r="AO72" s="1"/>
      <c r="AP72" s="84" t="str">
        <f t="shared" si="51"/>
        <v/>
      </c>
      <c r="AQ72" s="84" t="str">
        <f t="shared" si="52"/>
        <v/>
      </c>
      <c r="AR72" s="84" t="str">
        <f t="shared" si="53"/>
        <v/>
      </c>
    </row>
    <row r="73" spans="1:44" ht="19" customHeight="1" x14ac:dyDescent="0.3">
      <c r="A73" s="67" t="s">
        <v>114</v>
      </c>
      <c r="B73" s="67"/>
      <c r="C73" s="67"/>
      <c r="D73" s="89">
        <f>持有情况!AB82-ROW()*0.00001</f>
        <v>94.999269999999996</v>
      </c>
      <c r="E73" s="89">
        <v>3</v>
      </c>
      <c r="F73" s="90">
        <v>0</v>
      </c>
      <c r="G73" s="89">
        <v>3</v>
      </c>
      <c r="H73" s="89">
        <v>1</v>
      </c>
      <c r="I73" s="84" t="s">
        <v>298</v>
      </c>
      <c r="J73" s="89">
        <f>IF(路线!C6="计算",INT(路线!B13*(8.5/100)+7*路线!B29+13*路线!B21+40+20)-ROW()*0.00001,INT(路线!B13*(8.5/100)+7*路线!B29+13*路线!B21+40)-ROW()*0.00001)</f>
        <v>94.999269999999996</v>
      </c>
      <c r="K73" s="1"/>
      <c r="L73" s="84" t="str">
        <f t="shared" si="36"/>
        <v/>
      </c>
      <c r="M73" s="84" t="str">
        <f t="shared" si="37"/>
        <v/>
      </c>
      <c r="N73" s="84" t="str">
        <f t="shared" si="38"/>
        <v/>
      </c>
      <c r="O73" s="84" t="str">
        <f t="shared" si="39"/>
        <v/>
      </c>
      <c r="P73" s="84" t="str">
        <f t="shared" si="40"/>
        <v/>
      </c>
      <c r="Q73" s="84" t="str">
        <f t="shared" si="41"/>
        <v/>
      </c>
      <c r="R73" s="84" t="str">
        <f t="shared" si="42"/>
        <v/>
      </c>
      <c r="S73" s="84" t="str">
        <f t="shared" si="43"/>
        <v/>
      </c>
      <c r="T73" s="84">
        <f t="shared" si="44"/>
        <v>94.999269999999996</v>
      </c>
      <c r="U73" s="1"/>
      <c r="V73" s="1"/>
      <c r="W73" s="1"/>
      <c r="X73" s="1"/>
      <c r="Y73" s="1"/>
      <c r="Z73" s="1"/>
      <c r="AA73" s="1"/>
      <c r="AB73" s="1"/>
      <c r="AC73" s="1"/>
      <c r="AD73" s="84" t="str">
        <f t="shared" si="45"/>
        <v/>
      </c>
      <c r="AE73" s="84" t="str">
        <f t="shared" si="46"/>
        <v/>
      </c>
      <c r="AF73" s="84" t="str">
        <f t="shared" si="47"/>
        <v/>
      </c>
      <c r="AG73" s="1"/>
      <c r="AH73" s="1"/>
      <c r="AI73" s="1"/>
      <c r="AJ73" s="84" t="str">
        <f t="shared" si="48"/>
        <v/>
      </c>
      <c r="AK73" s="84" t="str">
        <f t="shared" si="49"/>
        <v/>
      </c>
      <c r="AL73" s="84" t="str">
        <f t="shared" si="50"/>
        <v/>
      </c>
      <c r="AM73" s="1"/>
      <c r="AN73" s="1"/>
      <c r="AO73" s="1"/>
      <c r="AP73" s="84" t="str">
        <f t="shared" si="51"/>
        <v/>
      </c>
      <c r="AQ73" s="84" t="str">
        <f t="shared" si="52"/>
        <v/>
      </c>
      <c r="AR73" s="84">
        <f t="shared" si="53"/>
        <v>94.999269999999996</v>
      </c>
    </row>
    <row r="74" spans="1:44" ht="19" customHeight="1" x14ac:dyDescent="0.3">
      <c r="A74" s="75" t="s">
        <v>49</v>
      </c>
      <c r="B74" s="75"/>
      <c r="C74" s="75"/>
      <c r="D74" s="89">
        <f>持有情况!R28-ROW()*0.00001</f>
        <v>147.99925999999999</v>
      </c>
      <c r="E74" s="90">
        <v>0</v>
      </c>
      <c r="F74" s="90">
        <v>0</v>
      </c>
      <c r="G74" s="89">
        <v>2</v>
      </c>
      <c r="H74" s="89">
        <v>1</v>
      </c>
      <c r="I74" s="84" t="s">
        <v>327</v>
      </c>
      <c r="J74" s="89">
        <f>INT((8.5/100)*路线!B13+17*路线!B34+3*路线!B24+40)-ROW()*0.00001</f>
        <v>147.99925999999999</v>
      </c>
      <c r="K74" s="1"/>
      <c r="L74" s="84" t="str">
        <f t="shared" si="36"/>
        <v/>
      </c>
      <c r="M74" s="84" t="str">
        <f t="shared" si="37"/>
        <v/>
      </c>
      <c r="N74" s="84" t="str">
        <f t="shared" si="38"/>
        <v/>
      </c>
      <c r="O74" s="84">
        <f t="shared" si="39"/>
        <v>147.99925999999999</v>
      </c>
      <c r="P74" s="84">
        <f t="shared" si="40"/>
        <v>147.99925999999999</v>
      </c>
      <c r="Q74" s="84">
        <f t="shared" si="41"/>
        <v>147.99925999999999</v>
      </c>
      <c r="R74" s="84" t="str">
        <f t="shared" si="42"/>
        <v/>
      </c>
      <c r="S74" s="84" t="str">
        <f t="shared" si="43"/>
        <v/>
      </c>
      <c r="T74" s="84" t="str">
        <f t="shared" si="44"/>
        <v/>
      </c>
      <c r="U74" s="1"/>
      <c r="V74" s="1"/>
      <c r="W74" s="1"/>
      <c r="X74" s="1"/>
      <c r="Y74" s="1"/>
      <c r="Z74" s="1"/>
      <c r="AA74" s="1"/>
      <c r="AB74" s="1"/>
      <c r="AC74" s="1"/>
      <c r="AD74" s="84" t="str">
        <f t="shared" si="45"/>
        <v/>
      </c>
      <c r="AE74" s="84">
        <f t="shared" si="46"/>
        <v>147.99925999999999</v>
      </c>
      <c r="AF74" s="84" t="str">
        <f t="shared" si="47"/>
        <v/>
      </c>
      <c r="AG74" s="1"/>
      <c r="AH74" s="1"/>
      <c r="AI74" s="1"/>
      <c r="AJ74" s="84" t="str">
        <f t="shared" si="48"/>
        <v/>
      </c>
      <c r="AK74" s="84">
        <f t="shared" si="49"/>
        <v>147.99925999999999</v>
      </c>
      <c r="AL74" s="84" t="str">
        <f t="shared" si="50"/>
        <v/>
      </c>
      <c r="AM74" s="1"/>
      <c r="AN74" s="1"/>
      <c r="AO74" s="1"/>
      <c r="AP74" s="84" t="str">
        <f t="shared" si="51"/>
        <v/>
      </c>
      <c r="AQ74" s="84">
        <f t="shared" si="52"/>
        <v>147.99925999999999</v>
      </c>
      <c r="AR74" s="84" t="str">
        <f t="shared" si="53"/>
        <v/>
      </c>
    </row>
    <row r="75" spans="1:44" ht="19" customHeight="1" x14ac:dyDescent="0.3">
      <c r="A75" s="67" t="s">
        <v>80</v>
      </c>
      <c r="B75" s="67"/>
      <c r="C75" s="67"/>
      <c r="D75" s="89">
        <f>持有情况!AB52-ROW()*0.00001</f>
        <v>154.99924999999999</v>
      </c>
      <c r="E75" s="89">
        <v>1</v>
      </c>
      <c r="F75" s="90">
        <v>0</v>
      </c>
      <c r="G75" s="89">
        <v>3</v>
      </c>
      <c r="H75" s="89">
        <v>1</v>
      </c>
      <c r="I75" s="84" t="s">
        <v>291</v>
      </c>
      <c r="J75" s="89">
        <f>IF(路线!C6="计算",INT((8.5/100)*路线!B13+3*路线!B23+17*路线!B21+11*路线!B33+40+20)-ROW()*0.00001,INT((8.5/100)*路线!B13+3*路线!B23+17*路线!B21+11*路线!B33+40)-ROW()*0.00001)</f>
        <v>154.99924999999999</v>
      </c>
      <c r="K75" s="1"/>
      <c r="L75" s="84" t="str">
        <f t="shared" si="36"/>
        <v/>
      </c>
      <c r="M75" s="84" t="str">
        <f t="shared" si="37"/>
        <v/>
      </c>
      <c r="N75" s="84" t="str">
        <f t="shared" si="38"/>
        <v/>
      </c>
      <c r="O75" s="84" t="str">
        <f t="shared" si="39"/>
        <v/>
      </c>
      <c r="P75" s="84" t="str">
        <f t="shared" si="40"/>
        <v/>
      </c>
      <c r="Q75" s="84" t="str">
        <f t="shared" si="41"/>
        <v/>
      </c>
      <c r="R75" s="84">
        <f t="shared" si="42"/>
        <v>154.99924999999999</v>
      </c>
      <c r="S75" s="84" t="str">
        <f t="shared" si="43"/>
        <v/>
      </c>
      <c r="T75" s="84" t="str">
        <f t="shared" si="44"/>
        <v/>
      </c>
      <c r="U75" s="1"/>
      <c r="V75" s="1"/>
      <c r="W75" s="1"/>
      <c r="X75" s="1"/>
      <c r="Y75" s="1"/>
      <c r="Z75" s="1"/>
      <c r="AA75" s="1"/>
      <c r="AB75" s="1"/>
      <c r="AC75" s="1"/>
      <c r="AD75" s="84" t="str">
        <f t="shared" si="45"/>
        <v/>
      </c>
      <c r="AE75" s="84" t="str">
        <f t="shared" si="46"/>
        <v/>
      </c>
      <c r="AF75" s="84">
        <f t="shared" si="47"/>
        <v>154.99924999999999</v>
      </c>
      <c r="AG75" s="1"/>
      <c r="AH75" s="1"/>
      <c r="AI75" s="1"/>
      <c r="AJ75" s="84" t="str">
        <f t="shared" si="48"/>
        <v/>
      </c>
      <c r="AK75" s="84" t="str">
        <f t="shared" si="49"/>
        <v/>
      </c>
      <c r="AL75" s="84" t="str">
        <f t="shared" si="50"/>
        <v/>
      </c>
      <c r="AM75" s="1"/>
      <c r="AN75" s="1"/>
      <c r="AO75" s="1"/>
      <c r="AP75" s="84" t="str">
        <f t="shared" si="51"/>
        <v/>
      </c>
      <c r="AQ75" s="84" t="str">
        <f t="shared" si="52"/>
        <v/>
      </c>
      <c r="AR75" s="84" t="str">
        <f t="shared" si="53"/>
        <v/>
      </c>
    </row>
    <row r="76" spans="1:44" ht="19" customHeight="1" x14ac:dyDescent="0.3">
      <c r="A76" s="57" t="s">
        <v>73</v>
      </c>
      <c r="B76" s="57"/>
      <c r="C76" s="57"/>
      <c r="D76" s="89">
        <f>IF(路线!B4="计算",持有情况!AM48,持有情况!AL46)-ROW()*0.00001</f>
        <v>137.99923999999999</v>
      </c>
      <c r="E76" s="89">
        <v>1</v>
      </c>
      <c r="F76" s="90">
        <v>0</v>
      </c>
      <c r="G76" s="89">
        <v>1</v>
      </c>
      <c r="H76" s="90">
        <v>0</v>
      </c>
      <c r="I76" s="1"/>
      <c r="J76" s="89">
        <f>IF(路线!B4="计算",INT((6.4/100)*路线!B13+8*路线!B33+4*路线!B20+30+持有情况!AM45),INT((6.4/100)*路线!B13+8*路线!B33+4*路线!B20+30))-ROW()*0.00001</f>
        <v>137.99923999999999</v>
      </c>
      <c r="K76" s="1"/>
      <c r="L76" s="84">
        <f t="shared" si="36"/>
        <v>137.99923999999999</v>
      </c>
      <c r="M76" s="84" t="str">
        <f t="shared" si="37"/>
        <v/>
      </c>
      <c r="N76" s="84" t="str">
        <f t="shared" si="38"/>
        <v/>
      </c>
      <c r="O76" s="84" t="str">
        <f t="shared" si="39"/>
        <v/>
      </c>
      <c r="P76" s="84" t="str">
        <f t="shared" si="40"/>
        <v/>
      </c>
      <c r="Q76" s="84" t="str">
        <f t="shared" si="41"/>
        <v/>
      </c>
      <c r="R76" s="84" t="str">
        <f t="shared" si="42"/>
        <v/>
      </c>
      <c r="S76" s="84" t="str">
        <f t="shared" si="43"/>
        <v/>
      </c>
      <c r="T76" s="84" t="str">
        <f t="shared" si="44"/>
        <v/>
      </c>
      <c r="U76" s="1"/>
      <c r="V76" s="1"/>
      <c r="W76" s="1"/>
      <c r="X76" s="1"/>
      <c r="Y76" s="1"/>
      <c r="Z76" s="1"/>
      <c r="AA76" s="1"/>
      <c r="AB76" s="1"/>
      <c r="AC76" s="1"/>
      <c r="AD76" s="84">
        <f t="shared" si="45"/>
        <v>137.99923999999999</v>
      </c>
      <c r="AE76" s="84" t="str">
        <f t="shared" si="46"/>
        <v/>
      </c>
      <c r="AF76" s="84" t="str">
        <f t="shared" si="47"/>
        <v/>
      </c>
      <c r="AG76" s="1"/>
      <c r="AH76" s="1"/>
      <c r="AI76" s="1"/>
      <c r="AJ76" s="84" t="str">
        <f t="shared" si="48"/>
        <v/>
      </c>
      <c r="AK76" s="84" t="str">
        <f t="shared" si="49"/>
        <v/>
      </c>
      <c r="AL76" s="84" t="str">
        <f t="shared" si="50"/>
        <v/>
      </c>
      <c r="AM76" s="1"/>
      <c r="AN76" s="1"/>
      <c r="AO76" s="1"/>
      <c r="AP76" s="84" t="str">
        <f t="shared" si="51"/>
        <v/>
      </c>
      <c r="AQ76" s="84" t="str">
        <f t="shared" si="52"/>
        <v/>
      </c>
      <c r="AR76" s="84" t="str">
        <f t="shared" si="53"/>
        <v/>
      </c>
    </row>
    <row r="77" spans="1:44" ht="19" customHeight="1" x14ac:dyDescent="0.3">
      <c r="A77" s="67" t="s">
        <v>28</v>
      </c>
      <c r="B77" s="67"/>
      <c r="C77" s="67"/>
      <c r="D77" s="89">
        <f>IF(路线!B4="计算",持有情况!BG12,持有情况!BF10)-ROW()*0.00001</f>
        <v>106.99923</v>
      </c>
      <c r="E77" s="90">
        <v>0</v>
      </c>
      <c r="F77" s="90">
        <v>0</v>
      </c>
      <c r="G77" s="89">
        <v>3</v>
      </c>
      <c r="H77" s="90">
        <v>0</v>
      </c>
      <c r="I77" s="1"/>
      <c r="J77" s="89">
        <f>INT(45+8*路线!B33+4*路线!B20+30)-ROW()*0.00001</f>
        <v>106.99923</v>
      </c>
      <c r="K77" s="1"/>
      <c r="L77" s="84" t="str">
        <f t="shared" si="36"/>
        <v/>
      </c>
      <c r="M77" s="84" t="str">
        <f t="shared" si="37"/>
        <v/>
      </c>
      <c r="N77" s="84" t="str">
        <f t="shared" si="38"/>
        <v/>
      </c>
      <c r="O77" s="84" t="str">
        <f t="shared" si="39"/>
        <v/>
      </c>
      <c r="P77" s="84" t="str">
        <f t="shared" si="40"/>
        <v/>
      </c>
      <c r="Q77" s="84" t="str">
        <f t="shared" si="41"/>
        <v/>
      </c>
      <c r="R77" s="84">
        <f t="shared" si="42"/>
        <v>106.99923</v>
      </c>
      <c r="S77" s="84">
        <f t="shared" si="43"/>
        <v>106.99923</v>
      </c>
      <c r="T77" s="84">
        <f t="shared" si="44"/>
        <v>106.99923</v>
      </c>
      <c r="U77" s="1"/>
      <c r="V77" s="1"/>
      <c r="W77" s="1"/>
      <c r="X77" s="1"/>
      <c r="Y77" s="1"/>
      <c r="Z77" s="1"/>
      <c r="AA77" s="1"/>
      <c r="AB77" s="1"/>
      <c r="AC77" s="1"/>
      <c r="AD77" s="84" t="str">
        <f t="shared" si="45"/>
        <v/>
      </c>
      <c r="AE77" s="84" t="str">
        <f t="shared" si="46"/>
        <v/>
      </c>
      <c r="AF77" s="84">
        <f t="shared" si="47"/>
        <v>106.99923</v>
      </c>
      <c r="AG77" s="1"/>
      <c r="AH77" s="1"/>
      <c r="AI77" s="1"/>
      <c r="AJ77" s="84" t="str">
        <f t="shared" si="48"/>
        <v/>
      </c>
      <c r="AK77" s="84" t="str">
        <f t="shared" si="49"/>
        <v/>
      </c>
      <c r="AL77" s="84">
        <f t="shared" si="50"/>
        <v>106.99923</v>
      </c>
      <c r="AM77" s="1"/>
      <c r="AN77" s="1"/>
      <c r="AO77" s="1"/>
      <c r="AP77" s="84" t="str">
        <f t="shared" si="51"/>
        <v/>
      </c>
      <c r="AQ77" s="84" t="str">
        <f t="shared" si="52"/>
        <v/>
      </c>
      <c r="AR77" s="84">
        <f t="shared" si="53"/>
        <v>106.99923</v>
      </c>
    </row>
    <row r="78" spans="1:44" ht="19" customHeight="1" x14ac:dyDescent="0.3">
      <c r="A78" s="75" t="s">
        <v>4</v>
      </c>
      <c r="B78" s="75"/>
      <c r="C78" s="75"/>
      <c r="D78" s="89">
        <f>IF(路线!B4="计算",持有情况!AW6,持有情况!AV4)-ROW()*0.00001</f>
        <v>106.99921999999999</v>
      </c>
      <c r="E78" s="90">
        <v>0</v>
      </c>
      <c r="F78" s="90">
        <v>0</v>
      </c>
      <c r="G78" s="89">
        <v>2</v>
      </c>
      <c r="H78" s="90">
        <v>0</v>
      </c>
      <c r="I78" s="1"/>
      <c r="J78" s="89">
        <f>INT(45+8*路线!B33+4*路线!B20+30)-ROW()*0.00001</f>
        <v>106.99921999999999</v>
      </c>
      <c r="K78" s="1"/>
      <c r="L78" s="84" t="str">
        <f t="shared" si="36"/>
        <v/>
      </c>
      <c r="M78" s="84" t="str">
        <f t="shared" si="37"/>
        <v/>
      </c>
      <c r="N78" s="84" t="str">
        <f t="shared" si="38"/>
        <v/>
      </c>
      <c r="O78" s="84">
        <f t="shared" si="39"/>
        <v>106.99921999999999</v>
      </c>
      <c r="P78" s="84">
        <f t="shared" si="40"/>
        <v>106.99921999999999</v>
      </c>
      <c r="Q78" s="84">
        <f t="shared" si="41"/>
        <v>106.99921999999999</v>
      </c>
      <c r="R78" s="84" t="str">
        <f t="shared" si="42"/>
        <v/>
      </c>
      <c r="S78" s="84" t="str">
        <f t="shared" si="43"/>
        <v/>
      </c>
      <c r="T78" s="84" t="str">
        <f t="shared" si="44"/>
        <v/>
      </c>
      <c r="U78" s="1"/>
      <c r="V78" s="1"/>
      <c r="W78" s="1"/>
      <c r="X78" s="1"/>
      <c r="Y78" s="1"/>
      <c r="Z78" s="1"/>
      <c r="AA78" s="1"/>
      <c r="AB78" s="1"/>
      <c r="AC78" s="1"/>
      <c r="AD78" s="84" t="str">
        <f t="shared" si="45"/>
        <v/>
      </c>
      <c r="AE78" s="84">
        <f t="shared" si="46"/>
        <v>106.99921999999999</v>
      </c>
      <c r="AF78" s="84" t="str">
        <f t="shared" si="47"/>
        <v/>
      </c>
      <c r="AG78" s="1"/>
      <c r="AH78" s="1"/>
      <c r="AI78" s="1"/>
      <c r="AJ78" s="84" t="str">
        <f t="shared" si="48"/>
        <v/>
      </c>
      <c r="AK78" s="84">
        <f t="shared" si="49"/>
        <v>106.99921999999999</v>
      </c>
      <c r="AL78" s="84" t="str">
        <f t="shared" si="50"/>
        <v/>
      </c>
      <c r="AM78" s="1"/>
      <c r="AN78" s="1"/>
      <c r="AO78" s="1"/>
      <c r="AP78" s="84" t="str">
        <f t="shared" si="51"/>
        <v/>
      </c>
      <c r="AQ78" s="84">
        <f t="shared" si="52"/>
        <v>106.99921999999999</v>
      </c>
      <c r="AR78" s="84" t="str">
        <f t="shared" si="53"/>
        <v/>
      </c>
    </row>
    <row r="79" spans="1:44" ht="19" customHeight="1" x14ac:dyDescent="0.3">
      <c r="A79" s="57" t="s">
        <v>26</v>
      </c>
      <c r="B79" s="57"/>
      <c r="C79" s="57"/>
      <c r="D79" s="89">
        <f>IF(路线!B4="计算",持有情况!AM12,持有情况!AL10)-ROW()*0.00001</f>
        <v>106.99921000000001</v>
      </c>
      <c r="E79" s="90">
        <v>0</v>
      </c>
      <c r="F79" s="90">
        <v>0</v>
      </c>
      <c r="G79" s="89">
        <v>1</v>
      </c>
      <c r="H79" s="90">
        <v>0</v>
      </c>
      <c r="I79" s="1"/>
      <c r="J79" s="89">
        <f>INT(45+8*路线!B33+4*路线!B20+30)-ROW()*0.00001</f>
        <v>106.99921000000001</v>
      </c>
      <c r="K79" s="1"/>
      <c r="L79" s="84">
        <f t="shared" si="36"/>
        <v>106.99921000000001</v>
      </c>
      <c r="M79" s="84">
        <f t="shared" si="37"/>
        <v>106.99921000000001</v>
      </c>
      <c r="N79" s="84">
        <f t="shared" si="38"/>
        <v>106.99921000000001</v>
      </c>
      <c r="O79" s="84" t="str">
        <f t="shared" si="39"/>
        <v/>
      </c>
      <c r="P79" s="84" t="str">
        <f t="shared" si="40"/>
        <v/>
      </c>
      <c r="Q79" s="84" t="str">
        <f t="shared" si="41"/>
        <v/>
      </c>
      <c r="R79" s="84" t="str">
        <f t="shared" si="42"/>
        <v/>
      </c>
      <c r="S79" s="84" t="str">
        <f t="shared" si="43"/>
        <v/>
      </c>
      <c r="T79" s="84" t="str">
        <f t="shared" si="44"/>
        <v/>
      </c>
      <c r="U79" s="1"/>
      <c r="V79" s="1"/>
      <c r="W79" s="1"/>
      <c r="X79" s="1"/>
      <c r="Y79" s="1"/>
      <c r="Z79" s="1"/>
      <c r="AA79" s="1"/>
      <c r="AB79" s="1"/>
      <c r="AC79" s="1"/>
      <c r="AD79" s="84">
        <f t="shared" si="45"/>
        <v>106.99921000000001</v>
      </c>
      <c r="AE79" s="84" t="str">
        <f t="shared" si="46"/>
        <v/>
      </c>
      <c r="AF79" s="84" t="str">
        <f t="shared" si="47"/>
        <v/>
      </c>
      <c r="AG79" s="1"/>
      <c r="AH79" s="1"/>
      <c r="AI79" s="1"/>
      <c r="AJ79" s="84">
        <f t="shared" si="48"/>
        <v>106.99921000000001</v>
      </c>
      <c r="AK79" s="84" t="str">
        <f t="shared" si="49"/>
        <v/>
      </c>
      <c r="AL79" s="84" t="str">
        <f t="shared" si="50"/>
        <v/>
      </c>
      <c r="AM79" s="1"/>
      <c r="AN79" s="1"/>
      <c r="AO79" s="1"/>
      <c r="AP79" s="84">
        <f t="shared" si="51"/>
        <v>106.99921000000001</v>
      </c>
      <c r="AQ79" s="84" t="str">
        <f t="shared" si="52"/>
        <v/>
      </c>
      <c r="AR79" s="84" t="str">
        <f t="shared" si="53"/>
        <v/>
      </c>
    </row>
    <row r="80" spans="1:44" ht="19" customHeight="1" x14ac:dyDescent="0.3">
      <c r="A80" s="57" t="s">
        <v>81</v>
      </c>
      <c r="B80" s="57"/>
      <c r="C80" s="57"/>
      <c r="D80" s="89">
        <f>持有情况!AL52-ROW()*0.00001</f>
        <v>90.999200000000002</v>
      </c>
      <c r="E80" s="89">
        <v>2</v>
      </c>
      <c r="F80" s="90">
        <v>0</v>
      </c>
      <c r="G80" s="89">
        <v>1</v>
      </c>
      <c r="H80" s="90">
        <v>0</v>
      </c>
      <c r="I80" s="1"/>
      <c r="J80" s="89">
        <f>INT(45+8*路线!B39+4*路线!B20+30)-ROW()*0.00001</f>
        <v>90.999200000000002</v>
      </c>
      <c r="K80" s="1"/>
      <c r="L80" s="84" t="str">
        <f t="shared" si="36"/>
        <v/>
      </c>
      <c r="M80" s="84">
        <f t="shared" si="37"/>
        <v>90.999200000000002</v>
      </c>
      <c r="N80" s="84" t="str">
        <f t="shared" si="38"/>
        <v/>
      </c>
      <c r="O80" s="84" t="str">
        <f t="shared" si="39"/>
        <v/>
      </c>
      <c r="P80" s="84" t="str">
        <f t="shared" si="40"/>
        <v/>
      </c>
      <c r="Q80" s="84" t="str">
        <f t="shared" si="41"/>
        <v/>
      </c>
      <c r="R80" s="84" t="str">
        <f t="shared" si="42"/>
        <v/>
      </c>
      <c r="S80" s="84" t="str">
        <f t="shared" si="43"/>
        <v/>
      </c>
      <c r="T80" s="84" t="str">
        <f t="shared" si="44"/>
        <v/>
      </c>
      <c r="U80" s="1"/>
      <c r="V80" s="1"/>
      <c r="W80" s="1"/>
      <c r="X80" s="1"/>
      <c r="Y80" s="1"/>
      <c r="Z80" s="1"/>
      <c r="AA80" s="1"/>
      <c r="AB80" s="1"/>
      <c r="AC80" s="1"/>
      <c r="AD80" s="84" t="str">
        <f t="shared" si="45"/>
        <v/>
      </c>
      <c r="AE80" s="84" t="str">
        <f t="shared" si="46"/>
        <v/>
      </c>
      <c r="AF80" s="84" t="str">
        <f t="shared" si="47"/>
        <v/>
      </c>
      <c r="AG80" s="1"/>
      <c r="AH80" s="1"/>
      <c r="AI80" s="1"/>
      <c r="AJ80" s="84">
        <f t="shared" si="48"/>
        <v>90.999200000000002</v>
      </c>
      <c r="AK80" s="84" t="str">
        <f t="shared" si="49"/>
        <v/>
      </c>
      <c r="AL80" s="84" t="str">
        <f t="shared" si="50"/>
        <v/>
      </c>
      <c r="AM80" s="1"/>
      <c r="AN80" s="1"/>
      <c r="AO80" s="1"/>
      <c r="AP80" s="84" t="str">
        <f t="shared" si="51"/>
        <v/>
      </c>
      <c r="AQ80" s="84" t="str">
        <f t="shared" si="52"/>
        <v/>
      </c>
      <c r="AR80" s="84" t="str">
        <f t="shared" si="53"/>
        <v/>
      </c>
    </row>
    <row r="81" spans="1:44" ht="19" customHeight="1" x14ac:dyDescent="0.3">
      <c r="A81" s="75" t="s">
        <v>75</v>
      </c>
      <c r="B81" s="75"/>
      <c r="C81" s="75"/>
      <c r="D81" s="89">
        <f>持有情况!AV46-ROW()*0.00001</f>
        <v>90.999189999999999</v>
      </c>
      <c r="E81" s="89">
        <v>1</v>
      </c>
      <c r="F81" s="90">
        <v>0</v>
      </c>
      <c r="G81" s="89">
        <v>2</v>
      </c>
      <c r="H81" s="90">
        <v>0</v>
      </c>
      <c r="I81" s="1"/>
      <c r="J81" s="89">
        <f>INT(45+8*路线!B39+4*路线!B20+30)-ROW()*0.00001</f>
        <v>90.999189999999999</v>
      </c>
      <c r="K81" s="1"/>
      <c r="L81" s="84" t="str">
        <f t="shared" si="36"/>
        <v/>
      </c>
      <c r="M81" s="84" t="str">
        <f t="shared" si="37"/>
        <v/>
      </c>
      <c r="N81" s="84" t="str">
        <f t="shared" si="38"/>
        <v/>
      </c>
      <c r="O81" s="84">
        <f t="shared" si="39"/>
        <v>90.999189999999999</v>
      </c>
      <c r="P81" s="84" t="str">
        <f t="shared" si="40"/>
        <v/>
      </c>
      <c r="Q81" s="84" t="str">
        <f t="shared" si="41"/>
        <v/>
      </c>
      <c r="R81" s="84" t="str">
        <f t="shared" si="42"/>
        <v/>
      </c>
      <c r="S81" s="84" t="str">
        <f t="shared" si="43"/>
        <v/>
      </c>
      <c r="T81" s="84" t="str">
        <f t="shared" si="44"/>
        <v/>
      </c>
      <c r="U81" s="1"/>
      <c r="V81" s="1"/>
      <c r="W81" s="1"/>
      <c r="X81" s="1"/>
      <c r="Y81" s="1"/>
      <c r="Z81" s="1"/>
      <c r="AA81" s="1"/>
      <c r="AB81" s="1"/>
      <c r="AC81" s="1"/>
      <c r="AD81" s="84" t="str">
        <f t="shared" si="45"/>
        <v/>
      </c>
      <c r="AE81" s="84">
        <f t="shared" si="46"/>
        <v>90.999189999999999</v>
      </c>
      <c r="AF81" s="84" t="str">
        <f t="shared" si="47"/>
        <v/>
      </c>
      <c r="AG81" s="1"/>
      <c r="AH81" s="1"/>
      <c r="AI81" s="1"/>
      <c r="AJ81" s="84" t="str">
        <f t="shared" si="48"/>
        <v/>
      </c>
      <c r="AK81" s="84" t="str">
        <f t="shared" si="49"/>
        <v/>
      </c>
      <c r="AL81" s="84" t="str">
        <f t="shared" si="50"/>
        <v/>
      </c>
      <c r="AM81" s="1"/>
      <c r="AN81" s="1"/>
      <c r="AO81" s="1"/>
      <c r="AP81" s="84" t="str">
        <f t="shared" si="51"/>
        <v/>
      </c>
      <c r="AQ81" s="84" t="str">
        <f t="shared" si="52"/>
        <v/>
      </c>
      <c r="AR81" s="84" t="str">
        <f t="shared" si="53"/>
        <v/>
      </c>
    </row>
    <row r="82" spans="1:44" ht="19" customHeight="1" x14ac:dyDescent="0.3">
      <c r="A82" s="75" t="s">
        <v>123</v>
      </c>
      <c r="B82" s="75"/>
      <c r="C82" s="75"/>
      <c r="D82" s="89">
        <f>持有情况!AV88-ROW()*0.00001</f>
        <v>106.99918</v>
      </c>
      <c r="E82" s="90">
        <v>0</v>
      </c>
      <c r="F82" s="89">
        <v>1</v>
      </c>
      <c r="G82" s="89">
        <v>2</v>
      </c>
      <c r="H82" s="90">
        <v>0</v>
      </c>
      <c r="I82" s="1"/>
      <c r="J82" s="89">
        <f>INT(45+8*路线!B33+30)-ROW()*0.00001</f>
        <v>106.99918</v>
      </c>
      <c r="K82" s="1"/>
      <c r="L82" s="84" t="str">
        <f t="shared" si="36"/>
        <v/>
      </c>
      <c r="M82" s="84" t="str">
        <f t="shared" si="37"/>
        <v/>
      </c>
      <c r="N82" s="84" t="str">
        <f t="shared" si="38"/>
        <v/>
      </c>
      <c r="O82" s="84">
        <f t="shared" si="39"/>
        <v>106.99918</v>
      </c>
      <c r="P82" s="84">
        <f t="shared" si="40"/>
        <v>106.99918</v>
      </c>
      <c r="Q82" s="84">
        <f t="shared" si="41"/>
        <v>106.99918</v>
      </c>
      <c r="R82" s="84" t="str">
        <f t="shared" si="42"/>
        <v/>
      </c>
      <c r="S82" s="84" t="str">
        <f t="shared" si="43"/>
        <v/>
      </c>
      <c r="T82" s="84" t="str">
        <f t="shared" si="44"/>
        <v/>
      </c>
      <c r="U82" s="1"/>
      <c r="V82" s="1"/>
      <c r="W82" s="1"/>
      <c r="X82" s="1"/>
      <c r="Y82" s="1"/>
      <c r="Z82" s="1"/>
      <c r="AA82" s="1"/>
      <c r="AB82" s="1"/>
      <c r="AC82" s="1"/>
      <c r="AD82" s="84" t="str">
        <f t="shared" si="45"/>
        <v/>
      </c>
      <c r="AE82" s="84">
        <f t="shared" si="46"/>
        <v>106.99918</v>
      </c>
      <c r="AF82" s="84" t="str">
        <f t="shared" si="47"/>
        <v/>
      </c>
      <c r="AG82" s="1"/>
      <c r="AH82" s="1"/>
      <c r="AI82" s="1"/>
      <c r="AJ82" s="84" t="str">
        <f t="shared" si="48"/>
        <v/>
      </c>
      <c r="AK82" s="84">
        <f t="shared" si="49"/>
        <v>106.99918</v>
      </c>
      <c r="AL82" s="84" t="str">
        <f t="shared" si="50"/>
        <v/>
      </c>
      <c r="AM82" s="1"/>
      <c r="AN82" s="1"/>
      <c r="AO82" s="1"/>
      <c r="AP82" s="84" t="str">
        <f t="shared" si="51"/>
        <v/>
      </c>
      <c r="AQ82" s="84">
        <f t="shared" si="52"/>
        <v>106.99918</v>
      </c>
      <c r="AR82" s="84" t="str">
        <f t="shared" si="53"/>
        <v/>
      </c>
    </row>
    <row r="83" spans="1:44" ht="19" customHeight="1" x14ac:dyDescent="0.3">
      <c r="A83" s="67" t="s">
        <v>50</v>
      </c>
      <c r="B83" s="67"/>
      <c r="C83" s="67"/>
      <c r="D83" s="89">
        <f>持有情况!AB28-ROW()*0.00001</f>
        <v>76.999170000000007</v>
      </c>
      <c r="E83" s="90">
        <v>0</v>
      </c>
      <c r="F83" s="90">
        <v>0</v>
      </c>
      <c r="G83" s="89">
        <v>3</v>
      </c>
      <c r="H83" s="89">
        <v>1</v>
      </c>
      <c r="I83" s="84" t="s">
        <v>292</v>
      </c>
      <c r="J83" s="89">
        <f>INT((8.5/100)*路线!B13+17*路线!B21+4*(路线!B28+路线!B29)+40)-ROW()*0.00001</f>
        <v>76.999170000000007</v>
      </c>
      <c r="K83" s="1"/>
      <c r="L83" s="84" t="str">
        <f t="shared" si="36"/>
        <v/>
      </c>
      <c r="M83" s="84" t="str">
        <f t="shared" si="37"/>
        <v/>
      </c>
      <c r="N83" s="84" t="str">
        <f t="shared" si="38"/>
        <v/>
      </c>
      <c r="O83" s="84" t="str">
        <f t="shared" si="39"/>
        <v/>
      </c>
      <c r="P83" s="84" t="str">
        <f t="shared" si="40"/>
        <v/>
      </c>
      <c r="Q83" s="84" t="str">
        <f t="shared" si="41"/>
        <v/>
      </c>
      <c r="R83" s="84">
        <f t="shared" si="42"/>
        <v>76.999170000000007</v>
      </c>
      <c r="S83" s="84">
        <f t="shared" si="43"/>
        <v>76.999170000000007</v>
      </c>
      <c r="T83" s="84">
        <f t="shared" si="44"/>
        <v>76.999170000000007</v>
      </c>
      <c r="U83" s="1"/>
      <c r="V83" s="1"/>
      <c r="W83" s="1"/>
      <c r="X83" s="1"/>
      <c r="Y83" s="1"/>
      <c r="Z83" s="1"/>
      <c r="AA83" s="1"/>
      <c r="AB83" s="1"/>
      <c r="AC83" s="1"/>
      <c r="AD83" s="84" t="str">
        <f t="shared" si="45"/>
        <v/>
      </c>
      <c r="AE83" s="84" t="str">
        <f t="shared" si="46"/>
        <v/>
      </c>
      <c r="AF83" s="84">
        <f t="shared" si="47"/>
        <v>76.999170000000007</v>
      </c>
      <c r="AG83" s="1"/>
      <c r="AH83" s="1"/>
      <c r="AI83" s="1"/>
      <c r="AJ83" s="84" t="str">
        <f t="shared" si="48"/>
        <v/>
      </c>
      <c r="AK83" s="84" t="str">
        <f t="shared" si="49"/>
        <v/>
      </c>
      <c r="AL83" s="84">
        <f t="shared" si="50"/>
        <v>76.999170000000007</v>
      </c>
      <c r="AM83" s="1"/>
      <c r="AN83" s="1"/>
      <c r="AO83" s="1"/>
      <c r="AP83" s="84" t="str">
        <f t="shared" si="51"/>
        <v/>
      </c>
      <c r="AQ83" s="84" t="str">
        <f t="shared" si="52"/>
        <v/>
      </c>
      <c r="AR83" s="84">
        <f t="shared" si="53"/>
        <v>76.999170000000007</v>
      </c>
    </row>
    <row r="84" spans="1:44" ht="19" customHeight="1" x14ac:dyDescent="0.3">
      <c r="A84" s="57" t="s">
        <v>41</v>
      </c>
      <c r="B84" s="57"/>
      <c r="C84" s="57"/>
      <c r="D84" s="89">
        <f>持有情况!H22-ROW()*0.00001</f>
        <v>96.999160000000003</v>
      </c>
      <c r="E84" s="90">
        <v>0</v>
      </c>
      <c r="F84" s="90">
        <v>0</v>
      </c>
      <c r="G84" s="89">
        <v>1</v>
      </c>
      <c r="H84" s="89">
        <v>1</v>
      </c>
      <c r="I84" s="84" t="s">
        <v>318</v>
      </c>
      <c r="J84" s="89">
        <f>IF(路线!C6="计算",INT((8.5/100)*路线!B13+6*路线!B20+4*(路线!B28+路线!B29)+40+20)-ROW()*0.00001,INT((8.5/100)*路线!B13+6*路线!B20+4*(路线!B28+路线!B29)+40)-ROW()*0.00001)</f>
        <v>96.999160000000003</v>
      </c>
      <c r="K84" s="1"/>
      <c r="L84" s="84">
        <f t="shared" si="36"/>
        <v>96.999160000000003</v>
      </c>
      <c r="M84" s="84">
        <f t="shared" si="37"/>
        <v>96.999160000000003</v>
      </c>
      <c r="N84" s="84">
        <f t="shared" si="38"/>
        <v>96.999160000000003</v>
      </c>
      <c r="O84" s="84" t="str">
        <f t="shared" si="39"/>
        <v/>
      </c>
      <c r="P84" s="84" t="str">
        <f t="shared" si="40"/>
        <v/>
      </c>
      <c r="Q84" s="84" t="str">
        <f t="shared" si="41"/>
        <v/>
      </c>
      <c r="R84" s="84" t="str">
        <f t="shared" si="42"/>
        <v/>
      </c>
      <c r="S84" s="84" t="str">
        <f t="shared" si="43"/>
        <v/>
      </c>
      <c r="T84" s="84" t="str">
        <f t="shared" si="44"/>
        <v/>
      </c>
      <c r="U84" s="1"/>
      <c r="V84" s="1"/>
      <c r="W84" s="1"/>
      <c r="X84" s="1"/>
      <c r="Y84" s="1"/>
      <c r="Z84" s="1"/>
      <c r="AA84" s="1"/>
      <c r="AB84" s="1"/>
      <c r="AC84" s="1"/>
      <c r="AD84" s="84">
        <f t="shared" si="45"/>
        <v>96.999160000000003</v>
      </c>
      <c r="AE84" s="84" t="str">
        <f t="shared" si="46"/>
        <v/>
      </c>
      <c r="AF84" s="84" t="str">
        <f t="shared" si="47"/>
        <v/>
      </c>
      <c r="AG84" s="1"/>
      <c r="AH84" s="1"/>
      <c r="AI84" s="1"/>
      <c r="AJ84" s="84">
        <f t="shared" si="48"/>
        <v>96.999160000000003</v>
      </c>
      <c r="AK84" s="84" t="str">
        <f t="shared" si="49"/>
        <v/>
      </c>
      <c r="AL84" s="84" t="str">
        <f t="shared" si="50"/>
        <v/>
      </c>
      <c r="AM84" s="1"/>
      <c r="AN84" s="1"/>
      <c r="AO84" s="1"/>
      <c r="AP84" s="84">
        <f t="shared" si="51"/>
        <v>96.999160000000003</v>
      </c>
      <c r="AQ84" s="84" t="str">
        <f t="shared" si="52"/>
        <v/>
      </c>
      <c r="AR84" s="84" t="str">
        <f t="shared" si="53"/>
        <v/>
      </c>
    </row>
    <row r="85" spans="1:44" ht="19" customHeight="1" x14ac:dyDescent="0.3">
      <c r="A85" s="75" t="s">
        <v>89</v>
      </c>
      <c r="B85" s="75"/>
      <c r="C85" s="75"/>
      <c r="D85" s="89">
        <f>持有情况!AV58-ROW()*0.00001</f>
        <v>74.99915</v>
      </c>
      <c r="E85" s="89">
        <v>1</v>
      </c>
      <c r="F85" s="90">
        <v>0</v>
      </c>
      <c r="G85" s="89">
        <v>2</v>
      </c>
      <c r="H85" s="89">
        <v>1</v>
      </c>
      <c r="I85" s="84" t="s">
        <v>313</v>
      </c>
      <c r="J85" s="89">
        <f>INT((6.4/100)*路线!B13+3*(路线!B28+路线!B29)+17+13*路线!B21+30)-ROW()*0.00001</f>
        <v>74.99915</v>
      </c>
      <c r="K85" s="1"/>
      <c r="L85" s="84" t="str">
        <f t="shared" si="36"/>
        <v/>
      </c>
      <c r="M85" s="84" t="str">
        <f t="shared" si="37"/>
        <v/>
      </c>
      <c r="N85" s="84" t="str">
        <f t="shared" si="38"/>
        <v/>
      </c>
      <c r="O85" s="84">
        <f t="shared" si="39"/>
        <v>74.99915</v>
      </c>
      <c r="P85" s="84" t="str">
        <f t="shared" si="40"/>
        <v/>
      </c>
      <c r="Q85" s="84" t="str">
        <f t="shared" si="41"/>
        <v/>
      </c>
      <c r="R85" s="84" t="str">
        <f t="shared" si="42"/>
        <v/>
      </c>
      <c r="S85" s="84" t="str">
        <f t="shared" si="43"/>
        <v/>
      </c>
      <c r="T85" s="84" t="str">
        <f t="shared" si="44"/>
        <v/>
      </c>
      <c r="U85" s="1"/>
      <c r="V85" s="1"/>
      <c r="W85" s="1"/>
      <c r="X85" s="1"/>
      <c r="Y85" s="1"/>
      <c r="Z85" s="1"/>
      <c r="AA85" s="1"/>
      <c r="AB85" s="1"/>
      <c r="AC85" s="1"/>
      <c r="AD85" s="84" t="str">
        <f t="shared" si="45"/>
        <v/>
      </c>
      <c r="AE85" s="84">
        <f t="shared" si="46"/>
        <v>74.99915</v>
      </c>
      <c r="AF85" s="84" t="str">
        <f t="shared" si="47"/>
        <v/>
      </c>
      <c r="AG85" s="1"/>
      <c r="AH85" s="1"/>
      <c r="AI85" s="1"/>
      <c r="AJ85" s="84" t="str">
        <f t="shared" si="48"/>
        <v/>
      </c>
      <c r="AK85" s="84" t="str">
        <f t="shared" si="49"/>
        <v/>
      </c>
      <c r="AL85" s="84" t="str">
        <f t="shared" si="50"/>
        <v/>
      </c>
      <c r="AM85" s="1"/>
      <c r="AN85" s="1"/>
      <c r="AO85" s="1"/>
      <c r="AP85" s="84" t="str">
        <f t="shared" si="51"/>
        <v/>
      </c>
      <c r="AQ85" s="84" t="str">
        <f t="shared" si="52"/>
        <v/>
      </c>
      <c r="AR85" s="84" t="str">
        <f t="shared" si="53"/>
        <v/>
      </c>
    </row>
    <row r="86" spans="1:44" ht="19" customHeight="1" x14ac:dyDescent="0.3">
      <c r="A86" s="57" t="s">
        <v>125</v>
      </c>
      <c r="B86" s="57"/>
      <c r="C86" s="57"/>
      <c r="D86" s="89">
        <f>持有情况!H94-ROW()*0.00001</f>
        <v>104.99914</v>
      </c>
      <c r="E86" s="90">
        <v>0</v>
      </c>
      <c r="F86" s="90">
        <v>0</v>
      </c>
      <c r="G86" s="89">
        <v>1</v>
      </c>
      <c r="H86" s="89">
        <v>1</v>
      </c>
      <c r="I86" s="84" t="s">
        <v>307</v>
      </c>
      <c r="J86" s="89">
        <f>IF(路线!C6="计算",INT((8.5/100)*路线!B13+2*路线!B24+13*路线!B21+40+20)-ROW()*0.00001,INT((8.5/100)*路线!B13+2*路线!B24+13*路线!B21+40)-ROW()*0.00001)</f>
        <v>104.99914</v>
      </c>
      <c r="K86" s="1"/>
      <c r="L86" s="84">
        <f t="shared" si="36"/>
        <v>104.99914</v>
      </c>
      <c r="M86" s="84">
        <f t="shared" si="37"/>
        <v>104.99914</v>
      </c>
      <c r="N86" s="84">
        <f t="shared" si="38"/>
        <v>104.99914</v>
      </c>
      <c r="O86" s="84" t="str">
        <f t="shared" si="39"/>
        <v/>
      </c>
      <c r="P86" s="84" t="str">
        <f t="shared" si="40"/>
        <v/>
      </c>
      <c r="Q86" s="84" t="str">
        <f t="shared" si="41"/>
        <v/>
      </c>
      <c r="R86" s="84" t="str">
        <f t="shared" si="42"/>
        <v/>
      </c>
      <c r="S86" s="84" t="str">
        <f t="shared" si="43"/>
        <v/>
      </c>
      <c r="T86" s="84" t="str">
        <f t="shared" si="44"/>
        <v/>
      </c>
      <c r="U86" s="1"/>
      <c r="V86" s="1"/>
      <c r="W86" s="1"/>
      <c r="X86" s="1"/>
      <c r="Y86" s="1"/>
      <c r="Z86" s="1"/>
      <c r="AA86" s="1"/>
      <c r="AB86" s="1"/>
      <c r="AC86" s="1"/>
      <c r="AD86" s="84">
        <f t="shared" si="45"/>
        <v>104.99914</v>
      </c>
      <c r="AE86" s="84" t="str">
        <f t="shared" si="46"/>
        <v/>
      </c>
      <c r="AF86" s="84" t="str">
        <f t="shared" si="47"/>
        <v/>
      </c>
      <c r="AG86" s="1"/>
      <c r="AH86" s="1"/>
      <c r="AI86" s="1"/>
      <c r="AJ86" s="84">
        <f t="shared" si="48"/>
        <v>104.99914</v>
      </c>
      <c r="AK86" s="84" t="str">
        <f t="shared" si="49"/>
        <v/>
      </c>
      <c r="AL86" s="84" t="str">
        <f t="shared" si="50"/>
        <v/>
      </c>
      <c r="AM86" s="1"/>
      <c r="AN86" s="1"/>
      <c r="AO86" s="1"/>
      <c r="AP86" s="84">
        <f t="shared" si="51"/>
        <v>104.99914</v>
      </c>
      <c r="AQ86" s="84" t="str">
        <f t="shared" si="52"/>
        <v/>
      </c>
      <c r="AR86" s="84" t="str">
        <f t="shared" si="53"/>
        <v/>
      </c>
    </row>
    <row r="87" spans="1:44" ht="19" customHeight="1" x14ac:dyDescent="0.3">
      <c r="A87" s="67" t="s">
        <v>83</v>
      </c>
      <c r="B87" s="67"/>
      <c r="C87" s="67"/>
      <c r="D87" s="89">
        <f>持有情况!BF52-ROW()*0.00001</f>
        <v>107.99912999999999</v>
      </c>
      <c r="E87" s="89">
        <v>2</v>
      </c>
      <c r="F87" s="89">
        <v>1</v>
      </c>
      <c r="G87" s="89">
        <v>3</v>
      </c>
      <c r="H87" s="90">
        <v>0</v>
      </c>
      <c r="I87" s="1"/>
      <c r="J87" s="89">
        <f>INT(45+11*路线!B34+13*路线!B21+30)-ROW()*0.00001</f>
        <v>107.99912999999999</v>
      </c>
      <c r="K87" s="1"/>
      <c r="L87" s="84" t="str">
        <f t="shared" si="36"/>
        <v/>
      </c>
      <c r="M87" s="84" t="str">
        <f t="shared" si="37"/>
        <v/>
      </c>
      <c r="N87" s="84" t="str">
        <f t="shared" si="38"/>
        <v/>
      </c>
      <c r="O87" s="84" t="str">
        <f t="shared" si="39"/>
        <v/>
      </c>
      <c r="P87" s="84" t="str">
        <f t="shared" si="40"/>
        <v/>
      </c>
      <c r="Q87" s="84" t="str">
        <f t="shared" si="41"/>
        <v/>
      </c>
      <c r="R87" s="84" t="str">
        <f t="shared" si="42"/>
        <v/>
      </c>
      <c r="S87" s="84">
        <f t="shared" si="43"/>
        <v>107.99912999999999</v>
      </c>
      <c r="T87" s="84" t="str">
        <f t="shared" si="44"/>
        <v/>
      </c>
      <c r="U87" s="1"/>
      <c r="V87" s="1"/>
      <c r="W87" s="1"/>
      <c r="X87" s="1"/>
      <c r="Y87" s="1"/>
      <c r="Z87" s="1"/>
      <c r="AA87" s="1"/>
      <c r="AB87" s="1"/>
      <c r="AC87" s="1"/>
      <c r="AD87" s="84" t="str">
        <f t="shared" si="45"/>
        <v/>
      </c>
      <c r="AE87" s="84" t="str">
        <f t="shared" si="46"/>
        <v/>
      </c>
      <c r="AF87" s="84" t="str">
        <f t="shared" si="47"/>
        <v/>
      </c>
      <c r="AG87" s="1"/>
      <c r="AH87" s="1"/>
      <c r="AI87" s="1"/>
      <c r="AJ87" s="84" t="str">
        <f t="shared" si="48"/>
        <v/>
      </c>
      <c r="AK87" s="84" t="str">
        <f t="shared" si="49"/>
        <v/>
      </c>
      <c r="AL87" s="84">
        <f t="shared" si="50"/>
        <v>107.99912999999999</v>
      </c>
      <c r="AM87" s="1"/>
      <c r="AN87" s="1"/>
      <c r="AO87" s="1"/>
      <c r="AP87" s="84" t="str">
        <f t="shared" si="51"/>
        <v/>
      </c>
      <c r="AQ87" s="84" t="str">
        <f t="shared" si="52"/>
        <v/>
      </c>
      <c r="AR87" s="84" t="str">
        <f t="shared" si="53"/>
        <v/>
      </c>
    </row>
    <row r="88" spans="1:44" ht="19" customHeight="1" x14ac:dyDescent="0.3">
      <c r="A88" s="75" t="s">
        <v>52</v>
      </c>
      <c r="B88" s="75"/>
      <c r="C88" s="75"/>
      <c r="D88" s="89">
        <f>持有情况!AV28-ROW()*0.00001</f>
        <v>128.99912</v>
      </c>
      <c r="E88" s="89">
        <v>1</v>
      </c>
      <c r="F88" s="90">
        <v>0</v>
      </c>
      <c r="G88" s="89">
        <v>2</v>
      </c>
      <c r="H88" s="89">
        <v>1</v>
      </c>
      <c r="I88" s="84" t="s">
        <v>336</v>
      </c>
      <c r="J88" s="89">
        <f>IF(路线!C6="计算",INT(45+17*路线!B32+4*路线!B20+30+20)-ROW()*0.00001,INT(45+17*路线!B32+4*路线!B20+30)-ROW()*0.00001)</f>
        <v>128.99912</v>
      </c>
      <c r="K88" s="1"/>
      <c r="L88" s="84" t="str">
        <f t="shared" si="36"/>
        <v/>
      </c>
      <c r="M88" s="84" t="str">
        <f t="shared" si="37"/>
        <v/>
      </c>
      <c r="N88" s="84" t="str">
        <f t="shared" si="38"/>
        <v/>
      </c>
      <c r="O88" s="84">
        <f t="shared" si="39"/>
        <v>128.99912</v>
      </c>
      <c r="P88" s="84" t="str">
        <f t="shared" si="40"/>
        <v/>
      </c>
      <c r="Q88" s="84" t="str">
        <f t="shared" si="41"/>
        <v/>
      </c>
      <c r="R88" s="84" t="str">
        <f t="shared" si="42"/>
        <v/>
      </c>
      <c r="S88" s="84" t="str">
        <f t="shared" si="43"/>
        <v/>
      </c>
      <c r="T88" s="84" t="str">
        <f t="shared" si="44"/>
        <v/>
      </c>
      <c r="U88" s="1"/>
      <c r="V88" s="1"/>
      <c r="W88" s="1"/>
      <c r="X88" s="1"/>
      <c r="Y88" s="1"/>
      <c r="Z88" s="1"/>
      <c r="AA88" s="1"/>
      <c r="AB88" s="1"/>
      <c r="AC88" s="1"/>
      <c r="AD88" s="84" t="str">
        <f t="shared" si="45"/>
        <v/>
      </c>
      <c r="AE88" s="84">
        <f t="shared" si="46"/>
        <v>128.99912</v>
      </c>
      <c r="AF88" s="84" t="str">
        <f t="shared" si="47"/>
        <v/>
      </c>
      <c r="AG88" s="1"/>
      <c r="AH88" s="1"/>
      <c r="AI88" s="1"/>
      <c r="AJ88" s="84" t="str">
        <f t="shared" si="48"/>
        <v/>
      </c>
      <c r="AK88" s="84" t="str">
        <f t="shared" si="49"/>
        <v/>
      </c>
      <c r="AL88" s="84" t="str">
        <f t="shared" si="50"/>
        <v/>
      </c>
      <c r="AM88" s="1"/>
      <c r="AN88" s="1"/>
      <c r="AO88" s="1"/>
      <c r="AP88" s="84" t="str">
        <f t="shared" si="51"/>
        <v/>
      </c>
      <c r="AQ88" s="84" t="str">
        <f t="shared" si="52"/>
        <v/>
      </c>
      <c r="AR88" s="84" t="str">
        <f t="shared" si="53"/>
        <v/>
      </c>
    </row>
    <row r="89" spans="1:44" ht="19" customHeight="1" x14ac:dyDescent="0.3">
      <c r="A89" s="67" t="s">
        <v>46</v>
      </c>
      <c r="B89" s="67"/>
      <c r="C89" s="67"/>
      <c r="D89" s="89">
        <f>持有情况!BF22-ROW()*0.00001</f>
        <v>127.99911</v>
      </c>
      <c r="E89" s="90">
        <v>0</v>
      </c>
      <c r="F89" s="90">
        <v>0</v>
      </c>
      <c r="G89" s="89">
        <v>3</v>
      </c>
      <c r="H89" s="89">
        <v>1</v>
      </c>
      <c r="I89" s="1"/>
      <c r="J89" s="89">
        <f>IF(路线!C6="计算",INT(45+11*路线!B34+4*路线!B20+30+20)-ROW()*0.00001,INT(45+11*路线!B34+4*路线!B20+30)-ROW()*0.00001)</f>
        <v>127.99911</v>
      </c>
      <c r="K89" s="1"/>
      <c r="L89" s="84" t="str">
        <f t="shared" si="36"/>
        <v/>
      </c>
      <c r="M89" s="84" t="str">
        <f t="shared" si="37"/>
        <v/>
      </c>
      <c r="N89" s="84" t="str">
        <f t="shared" si="38"/>
        <v/>
      </c>
      <c r="O89" s="84" t="str">
        <f t="shared" si="39"/>
        <v/>
      </c>
      <c r="P89" s="84" t="str">
        <f t="shared" si="40"/>
        <v/>
      </c>
      <c r="Q89" s="84" t="str">
        <f t="shared" si="41"/>
        <v/>
      </c>
      <c r="R89" s="84">
        <f t="shared" si="42"/>
        <v>127.99911</v>
      </c>
      <c r="S89" s="84">
        <f t="shared" si="43"/>
        <v>127.99911</v>
      </c>
      <c r="T89" s="84">
        <f t="shared" si="44"/>
        <v>127.99911</v>
      </c>
      <c r="U89" s="1"/>
      <c r="V89" s="1"/>
      <c r="W89" s="1"/>
      <c r="X89" s="1"/>
      <c r="Y89" s="1"/>
      <c r="Z89" s="1"/>
      <c r="AA89" s="1"/>
      <c r="AB89" s="1"/>
      <c r="AC89" s="1"/>
      <c r="AD89" s="84" t="str">
        <f t="shared" si="45"/>
        <v/>
      </c>
      <c r="AE89" s="84" t="str">
        <f t="shared" si="46"/>
        <v/>
      </c>
      <c r="AF89" s="84">
        <f t="shared" si="47"/>
        <v>127.99911</v>
      </c>
      <c r="AG89" s="1"/>
      <c r="AH89" s="1"/>
      <c r="AI89" s="1"/>
      <c r="AJ89" s="84" t="str">
        <f t="shared" si="48"/>
        <v/>
      </c>
      <c r="AK89" s="84" t="str">
        <f t="shared" si="49"/>
        <v/>
      </c>
      <c r="AL89" s="84">
        <f t="shared" si="50"/>
        <v>127.99911</v>
      </c>
      <c r="AM89" s="1"/>
      <c r="AN89" s="1"/>
      <c r="AO89" s="1"/>
      <c r="AP89" s="84" t="str">
        <f t="shared" si="51"/>
        <v/>
      </c>
      <c r="AQ89" s="84" t="str">
        <f t="shared" si="52"/>
        <v/>
      </c>
      <c r="AR89" s="84">
        <f t="shared" si="53"/>
        <v>127.99911</v>
      </c>
    </row>
    <row r="90" spans="1:44" ht="19" customHeight="1" x14ac:dyDescent="0.3">
      <c r="A90" s="75" t="s">
        <v>1</v>
      </c>
      <c r="B90" s="75"/>
      <c r="C90" s="75"/>
      <c r="D90" s="89">
        <f>持有情况!R4-ROW()*0.00001</f>
        <v>90.999099999999999</v>
      </c>
      <c r="E90" s="90">
        <v>0</v>
      </c>
      <c r="F90" s="90">
        <v>0</v>
      </c>
      <c r="G90" s="89">
        <v>2</v>
      </c>
      <c r="H90" s="89">
        <v>1</v>
      </c>
      <c r="I90" s="84" t="s">
        <v>320</v>
      </c>
      <c r="J90" s="89">
        <f>INT((8.5/100)*路线!B13+6*路线!B20+3*路线!B23+40)-ROW()*0.00001</f>
        <v>90.999099999999999</v>
      </c>
      <c r="K90" s="1"/>
      <c r="L90" s="84" t="str">
        <f t="shared" si="36"/>
        <v/>
      </c>
      <c r="M90" s="84" t="str">
        <f t="shared" si="37"/>
        <v/>
      </c>
      <c r="N90" s="84" t="str">
        <f t="shared" si="38"/>
        <v/>
      </c>
      <c r="O90" s="84">
        <f t="shared" si="39"/>
        <v>90.999099999999999</v>
      </c>
      <c r="P90" s="84">
        <f t="shared" si="40"/>
        <v>90.999099999999999</v>
      </c>
      <c r="Q90" s="84">
        <f t="shared" si="41"/>
        <v>90.999099999999999</v>
      </c>
      <c r="R90" s="84" t="str">
        <f t="shared" si="42"/>
        <v/>
      </c>
      <c r="S90" s="84" t="str">
        <f t="shared" si="43"/>
        <v/>
      </c>
      <c r="T90" s="84" t="str">
        <f t="shared" si="44"/>
        <v/>
      </c>
      <c r="U90" s="1"/>
      <c r="V90" s="1"/>
      <c r="W90" s="1"/>
      <c r="X90" s="1"/>
      <c r="Y90" s="1"/>
      <c r="Z90" s="1"/>
      <c r="AA90" s="1"/>
      <c r="AB90" s="1"/>
      <c r="AC90" s="1"/>
      <c r="AD90" s="84" t="str">
        <f t="shared" si="45"/>
        <v/>
      </c>
      <c r="AE90" s="84">
        <f t="shared" si="46"/>
        <v>90.999099999999999</v>
      </c>
      <c r="AF90" s="84" t="str">
        <f t="shared" si="47"/>
        <v/>
      </c>
      <c r="AG90" s="1"/>
      <c r="AH90" s="1"/>
      <c r="AI90" s="1"/>
      <c r="AJ90" s="84" t="str">
        <f t="shared" si="48"/>
        <v/>
      </c>
      <c r="AK90" s="84">
        <f t="shared" si="49"/>
        <v>90.999099999999999</v>
      </c>
      <c r="AL90" s="84" t="str">
        <f t="shared" si="50"/>
        <v/>
      </c>
      <c r="AM90" s="1"/>
      <c r="AN90" s="1"/>
      <c r="AO90" s="1"/>
      <c r="AP90" s="84" t="str">
        <f t="shared" si="51"/>
        <v/>
      </c>
      <c r="AQ90" s="84">
        <f t="shared" si="52"/>
        <v>90.999099999999999</v>
      </c>
      <c r="AR90" s="84" t="str">
        <f t="shared" si="53"/>
        <v/>
      </c>
    </row>
    <row r="91" spans="1:44" ht="19" customHeight="1" x14ac:dyDescent="0.3">
      <c r="A91" s="67" t="s">
        <v>43</v>
      </c>
      <c r="B91" s="67"/>
      <c r="C91" s="67"/>
      <c r="D91" s="89">
        <f>持有情况!AB22-ROW()*0.00001</f>
        <v>110.99909</v>
      </c>
      <c r="E91" s="90">
        <v>0</v>
      </c>
      <c r="F91" s="90">
        <v>0</v>
      </c>
      <c r="G91" s="89">
        <v>3</v>
      </c>
      <c r="H91" s="89">
        <v>1</v>
      </c>
      <c r="I91" s="84" t="s">
        <v>321</v>
      </c>
      <c r="J91" s="89">
        <f>INT((8.5/100)*路线!B13+6*路线!B20+3*路线!B23+40)-ROW()*0.00001</f>
        <v>90.999089999999995</v>
      </c>
      <c r="K91" s="1"/>
      <c r="L91" s="84" t="str">
        <f t="shared" si="36"/>
        <v/>
      </c>
      <c r="M91" s="84" t="str">
        <f t="shared" si="37"/>
        <v/>
      </c>
      <c r="N91" s="84" t="str">
        <f t="shared" si="38"/>
        <v/>
      </c>
      <c r="O91" s="84" t="str">
        <f t="shared" si="39"/>
        <v/>
      </c>
      <c r="P91" s="84" t="str">
        <f t="shared" si="40"/>
        <v/>
      </c>
      <c r="Q91" s="84" t="str">
        <f t="shared" si="41"/>
        <v/>
      </c>
      <c r="R91" s="84">
        <f t="shared" si="42"/>
        <v>110.99909</v>
      </c>
      <c r="S91" s="84">
        <f t="shared" si="43"/>
        <v>110.99909</v>
      </c>
      <c r="T91" s="84">
        <f t="shared" si="44"/>
        <v>110.99909</v>
      </c>
      <c r="U91" s="1"/>
      <c r="V91" s="1"/>
      <c r="W91" s="1"/>
      <c r="X91" s="1"/>
      <c r="Y91" s="1"/>
      <c r="Z91" s="1"/>
      <c r="AA91" s="1"/>
      <c r="AB91" s="1"/>
      <c r="AC91" s="1"/>
      <c r="AD91" s="84" t="str">
        <f t="shared" si="45"/>
        <v/>
      </c>
      <c r="AE91" s="84" t="str">
        <f t="shared" si="46"/>
        <v/>
      </c>
      <c r="AF91" s="84">
        <f t="shared" si="47"/>
        <v>90.999089999999995</v>
      </c>
      <c r="AG91" s="1"/>
      <c r="AH91" s="1"/>
      <c r="AI91" s="1"/>
      <c r="AJ91" s="84" t="str">
        <f t="shared" si="48"/>
        <v/>
      </c>
      <c r="AK91" s="84" t="str">
        <f t="shared" si="49"/>
        <v/>
      </c>
      <c r="AL91" s="84">
        <f t="shared" si="50"/>
        <v>90.999089999999995</v>
      </c>
      <c r="AM91" s="1"/>
      <c r="AN91" s="1"/>
      <c r="AO91" s="1"/>
      <c r="AP91" s="84" t="str">
        <f t="shared" si="51"/>
        <v/>
      </c>
      <c r="AQ91" s="84" t="str">
        <f t="shared" si="52"/>
        <v/>
      </c>
      <c r="AR91" s="84">
        <f t="shared" si="53"/>
        <v>90.999089999999995</v>
      </c>
    </row>
    <row r="92" spans="1:44" ht="19" customHeight="1" x14ac:dyDescent="0.3">
      <c r="A92" s="57" t="s">
        <v>78</v>
      </c>
      <c r="B92" s="57"/>
      <c r="C92" s="57"/>
      <c r="D92" s="89">
        <f>持有情况!H52-ROW()*0.00001</f>
        <v>82.999080000000006</v>
      </c>
      <c r="E92" s="89">
        <v>1</v>
      </c>
      <c r="F92" s="90">
        <v>0</v>
      </c>
      <c r="G92" s="89">
        <v>1</v>
      </c>
      <c r="H92" s="89">
        <v>1</v>
      </c>
      <c r="I92" s="84" t="s">
        <v>299</v>
      </c>
      <c r="J92" s="89">
        <f>INT((8.5/100)*路线!B13+17*路线!B21+11*路线!B39+40)-ROW()*0.00001</f>
        <v>82.999080000000006</v>
      </c>
      <c r="K92" s="1"/>
      <c r="L92" s="84">
        <f t="shared" si="36"/>
        <v>82.999080000000006</v>
      </c>
      <c r="M92" s="84" t="str">
        <f t="shared" si="37"/>
        <v/>
      </c>
      <c r="N92" s="84" t="str">
        <f t="shared" si="38"/>
        <v/>
      </c>
      <c r="O92" s="84" t="str">
        <f t="shared" si="39"/>
        <v/>
      </c>
      <c r="P92" s="84" t="str">
        <f t="shared" si="40"/>
        <v/>
      </c>
      <c r="Q92" s="84" t="str">
        <f t="shared" si="41"/>
        <v/>
      </c>
      <c r="R92" s="84" t="str">
        <f t="shared" si="42"/>
        <v/>
      </c>
      <c r="S92" s="84" t="str">
        <f t="shared" si="43"/>
        <v/>
      </c>
      <c r="T92" s="84" t="str">
        <f t="shared" si="44"/>
        <v/>
      </c>
      <c r="U92" s="1"/>
      <c r="V92" s="1"/>
      <c r="W92" s="1"/>
      <c r="X92" s="1"/>
      <c r="Y92" s="1"/>
      <c r="Z92" s="1"/>
      <c r="AA92" s="1"/>
      <c r="AB92" s="1"/>
      <c r="AC92" s="1"/>
      <c r="AD92" s="84">
        <f t="shared" si="45"/>
        <v>82.999080000000006</v>
      </c>
      <c r="AE92" s="84" t="str">
        <f t="shared" si="46"/>
        <v/>
      </c>
      <c r="AF92" s="84" t="str">
        <f t="shared" si="47"/>
        <v/>
      </c>
      <c r="AG92" s="1"/>
      <c r="AH92" s="1"/>
      <c r="AI92" s="1"/>
      <c r="AJ92" s="84" t="str">
        <f t="shared" si="48"/>
        <v/>
      </c>
      <c r="AK92" s="84" t="str">
        <f t="shared" si="49"/>
        <v/>
      </c>
      <c r="AL92" s="84" t="str">
        <f t="shared" si="50"/>
        <v/>
      </c>
      <c r="AM92" s="1"/>
      <c r="AN92" s="1"/>
      <c r="AO92" s="1"/>
      <c r="AP92" s="84" t="str">
        <f t="shared" si="51"/>
        <v/>
      </c>
      <c r="AQ92" s="84" t="str">
        <f t="shared" si="52"/>
        <v/>
      </c>
      <c r="AR92" s="84" t="str">
        <f t="shared" si="53"/>
        <v/>
      </c>
    </row>
    <row r="93" spans="1:44" ht="19" customHeight="1" x14ac:dyDescent="0.3">
      <c r="A93" s="75" t="s">
        <v>82</v>
      </c>
      <c r="B93" s="75"/>
      <c r="C93" s="75"/>
      <c r="D93" s="89">
        <f>持有情况!AV52-ROW()*0.00001</f>
        <v>158.99906999999999</v>
      </c>
      <c r="E93" s="89">
        <v>2</v>
      </c>
      <c r="F93" s="90">
        <v>0</v>
      </c>
      <c r="G93" s="89">
        <v>2</v>
      </c>
      <c r="H93" s="89">
        <v>1</v>
      </c>
      <c r="I93" s="84" t="s">
        <v>317</v>
      </c>
      <c r="J93" s="89">
        <f>INT((6.4/100)*路线!B13+8*路线!B35+11*路线!B34+13*路线!B21+30)-ROW()*0.00001</f>
        <v>158.99906999999999</v>
      </c>
      <c r="K93" s="1"/>
      <c r="L93" s="84" t="str">
        <f t="shared" si="36"/>
        <v/>
      </c>
      <c r="M93" s="84" t="str">
        <f t="shared" si="37"/>
        <v/>
      </c>
      <c r="N93" s="84" t="str">
        <f t="shared" si="38"/>
        <v/>
      </c>
      <c r="O93" s="84" t="str">
        <f t="shared" si="39"/>
        <v/>
      </c>
      <c r="P93" s="84">
        <f t="shared" si="40"/>
        <v>158.99906999999999</v>
      </c>
      <c r="Q93" s="84" t="str">
        <f t="shared" si="41"/>
        <v/>
      </c>
      <c r="R93" s="84" t="str">
        <f t="shared" si="42"/>
        <v/>
      </c>
      <c r="S93" s="84" t="str">
        <f t="shared" si="43"/>
        <v/>
      </c>
      <c r="T93" s="84" t="str">
        <f t="shared" si="44"/>
        <v/>
      </c>
      <c r="U93" s="1"/>
      <c r="V93" s="1"/>
      <c r="W93" s="1"/>
      <c r="X93" s="1"/>
      <c r="Y93" s="1"/>
      <c r="Z93" s="1"/>
      <c r="AA93" s="1"/>
      <c r="AB93" s="1"/>
      <c r="AC93" s="1"/>
      <c r="AD93" s="84" t="str">
        <f t="shared" si="45"/>
        <v/>
      </c>
      <c r="AE93" s="84" t="str">
        <f t="shared" si="46"/>
        <v/>
      </c>
      <c r="AF93" s="84" t="str">
        <f t="shared" si="47"/>
        <v/>
      </c>
      <c r="AG93" s="1"/>
      <c r="AH93" s="1"/>
      <c r="AI93" s="1"/>
      <c r="AJ93" s="84" t="str">
        <f t="shared" si="48"/>
        <v/>
      </c>
      <c r="AK93" s="84">
        <f t="shared" si="49"/>
        <v>158.99906999999999</v>
      </c>
      <c r="AL93" s="84" t="str">
        <f t="shared" si="50"/>
        <v/>
      </c>
      <c r="AM93" s="1"/>
      <c r="AN93" s="1"/>
      <c r="AO93" s="1"/>
      <c r="AP93" s="84" t="str">
        <f t="shared" si="51"/>
        <v/>
      </c>
      <c r="AQ93" s="84" t="str">
        <f t="shared" si="52"/>
        <v/>
      </c>
      <c r="AR93" s="84" t="str">
        <f t="shared" si="53"/>
        <v/>
      </c>
    </row>
    <row r="94" spans="1:44" ht="19" customHeight="1" x14ac:dyDescent="0.3">
      <c r="A94" s="57" t="s">
        <v>51</v>
      </c>
      <c r="B94" s="57"/>
      <c r="C94" s="57"/>
      <c r="D94" s="89">
        <f>持有情况!AL28-ROW()*0.00001</f>
        <v>62.99906</v>
      </c>
      <c r="E94" s="90">
        <v>0</v>
      </c>
      <c r="F94" s="89">
        <v>1</v>
      </c>
      <c r="G94" s="89">
        <v>1</v>
      </c>
      <c r="H94" s="90">
        <v>0</v>
      </c>
      <c r="I94" s="1"/>
      <c r="J94" s="89">
        <f>INT((6.4/100)*路线!B13+17+13*路线!B21+30)-ROW()*0.00001</f>
        <v>62.99906</v>
      </c>
      <c r="K94" s="1"/>
      <c r="L94" s="84">
        <f t="shared" si="36"/>
        <v>62.99906</v>
      </c>
      <c r="M94" s="84">
        <f t="shared" si="37"/>
        <v>62.99906</v>
      </c>
      <c r="N94" s="84">
        <f t="shared" si="38"/>
        <v>62.99906</v>
      </c>
      <c r="O94" s="84" t="str">
        <f t="shared" si="39"/>
        <v/>
      </c>
      <c r="P94" s="84" t="str">
        <f t="shared" si="40"/>
        <v/>
      </c>
      <c r="Q94" s="84" t="str">
        <f t="shared" si="41"/>
        <v/>
      </c>
      <c r="R94" s="84" t="str">
        <f t="shared" si="42"/>
        <v/>
      </c>
      <c r="S94" s="84" t="str">
        <f t="shared" si="43"/>
        <v/>
      </c>
      <c r="T94" s="84" t="str">
        <f t="shared" si="44"/>
        <v/>
      </c>
      <c r="U94" s="1"/>
      <c r="V94" s="1"/>
      <c r="W94" s="1"/>
      <c r="X94" s="1"/>
      <c r="Y94" s="1"/>
      <c r="Z94" s="1"/>
      <c r="AA94" s="1"/>
      <c r="AB94" s="1"/>
      <c r="AC94" s="1"/>
      <c r="AD94" s="84">
        <f t="shared" si="45"/>
        <v>62.99906</v>
      </c>
      <c r="AE94" s="84" t="str">
        <f t="shared" si="46"/>
        <v/>
      </c>
      <c r="AF94" s="84" t="str">
        <f t="shared" si="47"/>
        <v/>
      </c>
      <c r="AG94" s="1"/>
      <c r="AH94" s="1"/>
      <c r="AI94" s="1"/>
      <c r="AJ94" s="84">
        <f t="shared" si="48"/>
        <v>62.99906</v>
      </c>
      <c r="AK94" s="84" t="str">
        <f t="shared" si="49"/>
        <v/>
      </c>
      <c r="AL94" s="84" t="str">
        <f t="shared" si="50"/>
        <v/>
      </c>
      <c r="AM94" s="1"/>
      <c r="AN94" s="1"/>
      <c r="AO94" s="1"/>
      <c r="AP94" s="84">
        <f t="shared" si="51"/>
        <v>62.99906</v>
      </c>
      <c r="AQ94" s="84" t="str">
        <f t="shared" si="52"/>
        <v/>
      </c>
      <c r="AR94" s="84" t="str">
        <f t="shared" si="53"/>
        <v/>
      </c>
    </row>
    <row r="95" spans="1:44" ht="19" customHeight="1" x14ac:dyDescent="0.3">
      <c r="A95" s="75" t="s">
        <v>34</v>
      </c>
      <c r="B95" s="75"/>
      <c r="C95" s="75"/>
      <c r="D95" s="89">
        <f>持有情况!AV16-ROW()*0.00001</f>
        <v>62.999049999999997</v>
      </c>
      <c r="E95" s="90">
        <v>0</v>
      </c>
      <c r="F95" s="89">
        <v>1</v>
      </c>
      <c r="G95" s="89">
        <v>2</v>
      </c>
      <c r="H95" s="90">
        <v>0</v>
      </c>
      <c r="I95" s="1"/>
      <c r="J95" s="89">
        <f>INT((6.4/100)*路线!B13+17+13*路线!B21+30)-ROW()*0.00001</f>
        <v>62.999049999999997</v>
      </c>
      <c r="K95" s="1"/>
      <c r="L95" s="84" t="str">
        <f t="shared" si="36"/>
        <v/>
      </c>
      <c r="M95" s="84" t="str">
        <f t="shared" si="37"/>
        <v/>
      </c>
      <c r="N95" s="84" t="str">
        <f t="shared" si="38"/>
        <v/>
      </c>
      <c r="O95" s="84">
        <f t="shared" si="39"/>
        <v>62.999049999999997</v>
      </c>
      <c r="P95" s="84">
        <f t="shared" si="40"/>
        <v>62.999049999999997</v>
      </c>
      <c r="Q95" s="84">
        <f t="shared" si="41"/>
        <v>62.999049999999997</v>
      </c>
      <c r="R95" s="84" t="str">
        <f t="shared" si="42"/>
        <v/>
      </c>
      <c r="S95" s="84" t="str">
        <f t="shared" si="43"/>
        <v/>
      </c>
      <c r="T95" s="84" t="str">
        <f t="shared" si="44"/>
        <v/>
      </c>
      <c r="U95" s="1"/>
      <c r="V95" s="1"/>
      <c r="W95" s="1"/>
      <c r="X95" s="1"/>
      <c r="Y95" s="1"/>
      <c r="Z95" s="1"/>
      <c r="AA95" s="1"/>
      <c r="AB95" s="1"/>
      <c r="AC95" s="1"/>
      <c r="AD95" s="84" t="str">
        <f t="shared" si="45"/>
        <v/>
      </c>
      <c r="AE95" s="84">
        <f t="shared" si="46"/>
        <v>62.999049999999997</v>
      </c>
      <c r="AF95" s="84" t="str">
        <f t="shared" si="47"/>
        <v/>
      </c>
      <c r="AG95" s="1"/>
      <c r="AH95" s="1"/>
      <c r="AI95" s="1"/>
      <c r="AJ95" s="84" t="str">
        <f t="shared" si="48"/>
        <v/>
      </c>
      <c r="AK95" s="84">
        <f t="shared" si="49"/>
        <v>62.999049999999997</v>
      </c>
      <c r="AL95" s="84" t="str">
        <f t="shared" si="50"/>
        <v/>
      </c>
      <c r="AM95" s="1"/>
      <c r="AN95" s="1"/>
      <c r="AO95" s="1"/>
      <c r="AP95" s="84" t="str">
        <f t="shared" si="51"/>
        <v/>
      </c>
      <c r="AQ95" s="84">
        <f t="shared" si="52"/>
        <v>62.999049999999997</v>
      </c>
      <c r="AR95" s="84" t="str">
        <f t="shared" si="53"/>
        <v/>
      </c>
    </row>
    <row r="96" spans="1:44" ht="19" customHeight="1" x14ac:dyDescent="0.3">
      <c r="A96" s="67" t="s">
        <v>53</v>
      </c>
      <c r="B96" s="67"/>
      <c r="C96" s="67"/>
      <c r="D96" s="89">
        <f>持有情况!BF28-ROW()*0.00001</f>
        <v>82.999039999999994</v>
      </c>
      <c r="E96" s="90">
        <v>0</v>
      </c>
      <c r="F96" s="89">
        <v>1</v>
      </c>
      <c r="G96" s="89">
        <v>3</v>
      </c>
      <c r="H96" s="89">
        <v>1</v>
      </c>
      <c r="I96" s="84" t="s">
        <v>319</v>
      </c>
      <c r="J96" s="89">
        <f>IF(路线!C6="计算",INT((6.4/100)*路线!B13+17+13*路线!B21+30+20)-ROW()*0.00001,INT((6.4/100)*路线!B13+17+13*路线!B21+30)-ROW()*0.00001)</f>
        <v>82.999039999999994</v>
      </c>
      <c r="K96" s="1"/>
      <c r="L96" s="84" t="str">
        <f t="shared" si="36"/>
        <v/>
      </c>
      <c r="M96" s="84" t="str">
        <f t="shared" si="37"/>
        <v/>
      </c>
      <c r="N96" s="84" t="str">
        <f t="shared" si="38"/>
        <v/>
      </c>
      <c r="O96" s="84" t="str">
        <f t="shared" si="39"/>
        <v/>
      </c>
      <c r="P96" s="84" t="str">
        <f t="shared" si="40"/>
        <v/>
      </c>
      <c r="Q96" s="84" t="str">
        <f t="shared" si="41"/>
        <v/>
      </c>
      <c r="R96" s="84">
        <f t="shared" si="42"/>
        <v>82.999039999999994</v>
      </c>
      <c r="S96" s="84">
        <f t="shared" si="43"/>
        <v>82.999039999999994</v>
      </c>
      <c r="T96" s="84">
        <f t="shared" si="44"/>
        <v>82.999039999999994</v>
      </c>
      <c r="U96" s="1"/>
      <c r="V96" s="1"/>
      <c r="W96" s="1"/>
      <c r="X96" s="1"/>
      <c r="Y96" s="1"/>
      <c r="Z96" s="1"/>
      <c r="AA96" s="1"/>
      <c r="AB96" s="1"/>
      <c r="AC96" s="1"/>
      <c r="AD96" s="84" t="str">
        <f t="shared" si="45"/>
        <v/>
      </c>
      <c r="AE96" s="84" t="str">
        <f t="shared" si="46"/>
        <v/>
      </c>
      <c r="AF96" s="84">
        <f t="shared" si="47"/>
        <v>82.999039999999994</v>
      </c>
      <c r="AG96" s="1"/>
      <c r="AH96" s="1"/>
      <c r="AI96" s="1"/>
      <c r="AJ96" s="84" t="str">
        <f t="shared" si="48"/>
        <v/>
      </c>
      <c r="AK96" s="84" t="str">
        <f t="shared" si="49"/>
        <v/>
      </c>
      <c r="AL96" s="84">
        <f t="shared" si="50"/>
        <v>82.999039999999994</v>
      </c>
      <c r="AM96" s="1"/>
      <c r="AN96" s="1"/>
      <c r="AO96" s="1"/>
      <c r="AP96" s="84" t="str">
        <f t="shared" si="51"/>
        <v/>
      </c>
      <c r="AQ96" s="84" t="str">
        <f t="shared" si="52"/>
        <v/>
      </c>
      <c r="AR96" s="84">
        <f t="shared" si="53"/>
        <v>82.999039999999994</v>
      </c>
    </row>
    <row r="97" spans="1:47" ht="19" customHeight="1" x14ac:dyDescent="0.3">
      <c r="A97" s="57" t="s">
        <v>70</v>
      </c>
      <c r="B97" s="57"/>
      <c r="C97" s="57"/>
      <c r="D97" s="89">
        <f>持有情况!H46-ROW()*0.00001</f>
        <v>131.99903</v>
      </c>
      <c r="E97" s="89">
        <v>1</v>
      </c>
      <c r="F97" s="90">
        <v>0</v>
      </c>
      <c r="G97" s="89">
        <v>1</v>
      </c>
      <c r="H97" s="89">
        <v>1</v>
      </c>
      <c r="I97" s="84" t="s">
        <v>306</v>
      </c>
      <c r="J97" s="89">
        <f>IF(路线!C6="计算",INT((8.5/100)*路线!B13+17*路线!B21+17*路线!B34+40+20)-ROW()*0.00001,INT((8.5/100)*路线!B13+17*路线!B21+17*路线!B34+40)-ROW()*0.00001)</f>
        <v>131.99903</v>
      </c>
      <c r="K97" s="1"/>
      <c r="L97" s="84">
        <f t="shared" si="36"/>
        <v>131.99903</v>
      </c>
      <c r="M97" s="84" t="str">
        <f t="shared" si="37"/>
        <v/>
      </c>
      <c r="N97" s="84" t="str">
        <f t="shared" si="38"/>
        <v/>
      </c>
      <c r="O97" s="84" t="str">
        <f t="shared" si="39"/>
        <v/>
      </c>
      <c r="P97" s="84" t="str">
        <f t="shared" si="40"/>
        <v/>
      </c>
      <c r="Q97" s="84" t="str">
        <f t="shared" si="41"/>
        <v/>
      </c>
      <c r="R97" s="84" t="str">
        <f t="shared" si="42"/>
        <v/>
      </c>
      <c r="S97" s="84" t="str">
        <f t="shared" si="43"/>
        <v/>
      </c>
      <c r="T97" s="84" t="str">
        <f t="shared" si="44"/>
        <v/>
      </c>
      <c r="U97" s="1"/>
      <c r="V97" s="1"/>
      <c r="W97" s="1"/>
      <c r="X97" s="1"/>
      <c r="Y97" s="1"/>
      <c r="Z97" s="1"/>
      <c r="AA97" s="1"/>
      <c r="AB97" s="1"/>
      <c r="AC97" s="1"/>
      <c r="AD97" s="84">
        <f t="shared" si="45"/>
        <v>131.99903</v>
      </c>
      <c r="AE97" s="84" t="str">
        <f t="shared" si="46"/>
        <v/>
      </c>
      <c r="AF97" s="84" t="str">
        <f t="shared" si="47"/>
        <v/>
      </c>
      <c r="AG97" s="1"/>
      <c r="AH97" s="1"/>
      <c r="AI97" s="1"/>
      <c r="AJ97" s="84" t="str">
        <f t="shared" si="48"/>
        <v/>
      </c>
      <c r="AK97" s="84" t="str">
        <f t="shared" si="49"/>
        <v/>
      </c>
      <c r="AL97" s="84" t="str">
        <f t="shared" si="50"/>
        <v/>
      </c>
      <c r="AM97" s="1"/>
      <c r="AN97" s="1"/>
      <c r="AO97" s="1"/>
      <c r="AP97" s="84" t="str">
        <f t="shared" si="51"/>
        <v/>
      </c>
      <c r="AQ97" s="84" t="str">
        <f t="shared" si="52"/>
        <v/>
      </c>
      <c r="AR97" s="84" t="str">
        <f t="shared" si="53"/>
        <v/>
      </c>
    </row>
    <row r="98" spans="1:47" ht="19" customHeight="1" x14ac:dyDescent="0.3">
      <c r="A98" s="75" t="s">
        <v>102</v>
      </c>
      <c r="B98" s="75"/>
      <c r="C98" s="75"/>
      <c r="D98" s="89">
        <f>持有情况!AV70-ROW()*0.00001</f>
        <v>77.999020000000002</v>
      </c>
      <c r="E98" s="89">
        <v>1</v>
      </c>
      <c r="F98" s="90">
        <v>0</v>
      </c>
      <c r="G98" s="89">
        <v>2</v>
      </c>
      <c r="H98" s="89">
        <v>1</v>
      </c>
      <c r="I98" s="84" t="s">
        <v>324</v>
      </c>
      <c r="J98" s="89">
        <f>INT((6.4/100)*路线!B13+8*路线!B33+13*路线!B21+30)-ROW()*0.00001</f>
        <v>77.999020000000002</v>
      </c>
      <c r="K98" s="1"/>
      <c r="L98" s="84" t="str">
        <f t="shared" ref="L98:L110" si="54">IF(AND(OR(E98=1,E98=0),G98=1),D98,"")</f>
        <v/>
      </c>
      <c r="M98" s="84" t="str">
        <f t="shared" ref="M98:M110" si="55">IF(AND(OR(E98=2,E98=0),G98=1),D98,"")</f>
        <v/>
      </c>
      <c r="N98" s="84" t="str">
        <f t="shared" ref="N98:N110" si="56">IF(AND(OR(E98=3,E98=0),G98=1),D98,"")</f>
        <v/>
      </c>
      <c r="O98" s="84">
        <f t="shared" ref="O98:O110" si="57">IF(AND(OR(E98=1,E98=0),G98=2),D98,"")</f>
        <v>77.999020000000002</v>
      </c>
      <c r="P98" s="84" t="str">
        <f t="shared" ref="P98:P110" si="58">IF(AND(OR(E98=2,E98=0),G98=2),D98,"")</f>
        <v/>
      </c>
      <c r="Q98" s="84" t="str">
        <f t="shared" ref="Q98:Q110" si="59">IF(AND(OR(E98=3,E98=0),G98=2),D98,"")</f>
        <v/>
      </c>
      <c r="R98" s="84" t="str">
        <f t="shared" ref="R98:R110" si="60">IF(AND(OR(E98=1,E98=0),G98=3),D98,"")</f>
        <v/>
      </c>
      <c r="S98" s="84" t="str">
        <f t="shared" ref="S98:S110" si="61">IF(AND(OR(E98=2,E98=0),G98=3),D98,"")</f>
        <v/>
      </c>
      <c r="T98" s="84" t="str">
        <f t="shared" ref="T98:T110" si="62">IF(AND(OR(E98=3,E98=0),G98=3),D98,"")</f>
        <v/>
      </c>
      <c r="U98" s="1"/>
      <c r="V98" s="1"/>
      <c r="W98" s="1"/>
      <c r="X98" s="1"/>
      <c r="Y98" s="1"/>
      <c r="Z98" s="1"/>
      <c r="AA98" s="1"/>
      <c r="AB98" s="1"/>
      <c r="AC98" s="1"/>
      <c r="AD98" s="84" t="str">
        <f t="shared" ref="AD98:AD103" si="63">IF(AND(OR(E98=1,E98=0),G98=1),J98,"")</f>
        <v/>
      </c>
      <c r="AE98" s="84">
        <f t="shared" ref="AE98:AE103" si="64">IF(AND(OR(E98=1,E98=0),G98=2),J98,"")</f>
        <v>77.999020000000002</v>
      </c>
      <c r="AF98" s="84" t="str">
        <f t="shared" ref="AF98:AF103" si="65">IF(AND(OR(E98=1,E98=0),G98=3),J98,"")</f>
        <v/>
      </c>
      <c r="AG98" s="1"/>
      <c r="AH98" s="1"/>
      <c r="AI98" s="1"/>
      <c r="AJ98" s="84" t="str">
        <f t="shared" ref="AJ98:AJ103" si="66">IF(AND(OR(E98=2,E98=0),G98=1),J98,"")</f>
        <v/>
      </c>
      <c r="AK98" s="84" t="str">
        <f t="shared" ref="AK98:AK103" si="67">IF(AND(OR(E98=2,E98=0),G98=2),J98,"")</f>
        <v/>
      </c>
      <c r="AL98" s="84" t="str">
        <f t="shared" ref="AL98:AL103" si="68">IF(AND(OR(E98=2,E98=0),G98=3),J98,"")</f>
        <v/>
      </c>
      <c r="AM98" s="1"/>
      <c r="AN98" s="1"/>
      <c r="AO98" s="1"/>
      <c r="AP98" s="84" t="str">
        <f t="shared" ref="AP98:AP103" si="69">IF(AND(OR(E98=3,E98=0),G98=1),J98,"")</f>
        <v/>
      </c>
      <c r="AQ98" s="84" t="str">
        <f t="shared" ref="AQ98:AQ103" si="70">IF(AND(OR(E98=3,E98=0),G98=2),J98,"")</f>
        <v/>
      </c>
      <c r="AR98" s="84" t="str">
        <f t="shared" ref="AR98:AR103" si="71">IF(AND(OR(E98=3,E98=0),G98=3),J98,"")</f>
        <v/>
      </c>
    </row>
    <row r="99" spans="1:47" ht="19" customHeight="1" x14ac:dyDescent="0.3">
      <c r="A99" s="57" t="s">
        <v>44</v>
      </c>
      <c r="B99" s="57"/>
      <c r="C99" s="57"/>
      <c r="D99" s="89">
        <f>持有情况!AL22-ROW()*0.00001</f>
        <v>98.999009999999998</v>
      </c>
      <c r="E99" s="90">
        <v>0</v>
      </c>
      <c r="F99" s="90">
        <v>0</v>
      </c>
      <c r="G99" s="89">
        <v>1</v>
      </c>
      <c r="H99" s="89">
        <v>1</v>
      </c>
      <c r="I99" s="1"/>
      <c r="J99" s="89">
        <f>IF(路线!C6="计算",INT((6.4/100)*路线!B13+11*路线!B34+4*路线!B20+30+20)-ROW()*0.00001,INT((6.4/100)*路线!B13+11*路线!B34+4*路线!B20+30)-ROW()*0.00001)</f>
        <v>98.999009999999998</v>
      </c>
      <c r="K99" s="1"/>
      <c r="L99" s="84">
        <f t="shared" si="54"/>
        <v>98.999009999999998</v>
      </c>
      <c r="M99" s="84">
        <f t="shared" si="55"/>
        <v>98.999009999999998</v>
      </c>
      <c r="N99" s="84">
        <f t="shared" si="56"/>
        <v>98.999009999999998</v>
      </c>
      <c r="O99" s="84" t="str">
        <f t="shared" si="57"/>
        <v/>
      </c>
      <c r="P99" s="84" t="str">
        <f t="shared" si="58"/>
        <v/>
      </c>
      <c r="Q99" s="84" t="str">
        <f t="shared" si="59"/>
        <v/>
      </c>
      <c r="R99" s="84" t="str">
        <f t="shared" si="60"/>
        <v/>
      </c>
      <c r="S99" s="84" t="str">
        <f t="shared" si="61"/>
        <v/>
      </c>
      <c r="T99" s="84" t="str">
        <f t="shared" si="62"/>
        <v/>
      </c>
      <c r="U99" s="1"/>
      <c r="V99" s="1"/>
      <c r="W99" s="1"/>
      <c r="X99" s="1"/>
      <c r="Y99" s="1"/>
      <c r="Z99" s="1"/>
      <c r="AA99" s="1"/>
      <c r="AB99" s="1"/>
      <c r="AC99" s="1"/>
      <c r="AD99" s="84">
        <f t="shared" si="63"/>
        <v>98.999009999999998</v>
      </c>
      <c r="AE99" s="84" t="str">
        <f t="shared" si="64"/>
        <v/>
      </c>
      <c r="AF99" s="84" t="str">
        <f t="shared" si="65"/>
        <v/>
      </c>
      <c r="AG99" s="1"/>
      <c r="AH99" s="1"/>
      <c r="AI99" s="1"/>
      <c r="AJ99" s="84">
        <f t="shared" si="66"/>
        <v>98.999009999999998</v>
      </c>
      <c r="AK99" s="84" t="str">
        <f t="shared" si="67"/>
        <v/>
      </c>
      <c r="AL99" s="84" t="str">
        <f t="shared" si="68"/>
        <v/>
      </c>
      <c r="AM99" s="1"/>
      <c r="AN99" s="1"/>
      <c r="AO99" s="1"/>
      <c r="AP99" s="84">
        <f t="shared" si="69"/>
        <v>98.999009999999998</v>
      </c>
      <c r="AQ99" s="84" t="str">
        <f t="shared" si="70"/>
        <v/>
      </c>
      <c r="AR99" s="84" t="str">
        <f t="shared" si="71"/>
        <v/>
      </c>
    </row>
    <row r="100" spans="1:47" ht="19" customHeight="1" x14ac:dyDescent="0.3">
      <c r="A100" s="75" t="s">
        <v>45</v>
      </c>
      <c r="B100" s="75"/>
      <c r="C100" s="75"/>
      <c r="D100" s="89">
        <f>持有情况!AV22-ROW()*0.00001</f>
        <v>98.998999999999995</v>
      </c>
      <c r="E100" s="90">
        <v>0</v>
      </c>
      <c r="F100" s="90">
        <v>0</v>
      </c>
      <c r="G100" s="89">
        <v>2</v>
      </c>
      <c r="H100" s="89">
        <v>1</v>
      </c>
      <c r="I100" s="1"/>
      <c r="J100" s="89">
        <f>IF(路线!C6="计算",INT((6.4/100)*路线!B13+11*路线!B34+4*路线!B20+30+20)-ROW()*0.00001,INT((6.4/100)*路线!B13+11*路线!B34+4*路线!B20+30)-ROW()*0.00001)</f>
        <v>98.998999999999995</v>
      </c>
      <c r="K100" s="1"/>
      <c r="L100" s="84" t="str">
        <f t="shared" si="54"/>
        <v/>
      </c>
      <c r="M100" s="84" t="str">
        <f t="shared" si="55"/>
        <v/>
      </c>
      <c r="N100" s="84" t="str">
        <f t="shared" si="56"/>
        <v/>
      </c>
      <c r="O100" s="84">
        <f t="shared" si="57"/>
        <v>98.998999999999995</v>
      </c>
      <c r="P100" s="84">
        <f t="shared" si="58"/>
        <v>98.998999999999995</v>
      </c>
      <c r="Q100" s="84">
        <f t="shared" si="59"/>
        <v>98.998999999999995</v>
      </c>
      <c r="R100" s="84" t="str">
        <f t="shared" si="60"/>
        <v/>
      </c>
      <c r="S100" s="84" t="str">
        <f t="shared" si="61"/>
        <v/>
      </c>
      <c r="T100" s="84" t="str">
        <f t="shared" si="62"/>
        <v/>
      </c>
      <c r="U100" s="1"/>
      <c r="V100" s="1"/>
      <c r="W100" s="1"/>
      <c r="X100" s="1"/>
      <c r="Y100" s="1"/>
      <c r="Z100" s="1"/>
      <c r="AA100" s="1"/>
      <c r="AB100" s="1"/>
      <c r="AC100" s="1"/>
      <c r="AD100" s="84" t="str">
        <f t="shared" si="63"/>
        <v/>
      </c>
      <c r="AE100" s="84">
        <f t="shared" si="64"/>
        <v>98.998999999999995</v>
      </c>
      <c r="AF100" s="84" t="str">
        <f t="shared" si="65"/>
        <v/>
      </c>
      <c r="AG100" s="1"/>
      <c r="AH100" s="1"/>
      <c r="AI100" s="1"/>
      <c r="AJ100" s="84" t="str">
        <f t="shared" si="66"/>
        <v/>
      </c>
      <c r="AK100" s="84">
        <f t="shared" si="67"/>
        <v>98.998999999999995</v>
      </c>
      <c r="AL100" s="84" t="str">
        <f t="shared" si="68"/>
        <v/>
      </c>
      <c r="AM100" s="1"/>
      <c r="AN100" s="1"/>
      <c r="AO100" s="1"/>
      <c r="AP100" s="84" t="str">
        <f t="shared" si="69"/>
        <v/>
      </c>
      <c r="AQ100" s="84">
        <f t="shared" si="70"/>
        <v>98.998999999999995</v>
      </c>
      <c r="AR100" s="84" t="str">
        <f t="shared" si="71"/>
        <v/>
      </c>
    </row>
    <row r="101" spans="1:47" ht="19" customHeight="1" x14ac:dyDescent="0.3">
      <c r="A101" s="67" t="s">
        <v>144</v>
      </c>
      <c r="B101" s="67"/>
      <c r="C101" s="67"/>
      <c r="D101" s="89">
        <f>持有情况!AB112-ROW()*0.00001</f>
        <v>268.99898999999999</v>
      </c>
      <c r="E101" s="89">
        <v>3</v>
      </c>
      <c r="F101" s="90">
        <v>0</v>
      </c>
      <c r="G101" s="89">
        <v>3</v>
      </c>
      <c r="H101" s="90">
        <v>0</v>
      </c>
      <c r="I101" s="1"/>
      <c r="J101" s="89">
        <f>IF(路线!C6="计算",INT(60+21*IF(路线!B38&lt;=3,路线!B38,3)+17*路线!B21+22*IF(路线!B37&lt;=3,路线!B37,3)+40+40),INT(60+21*IF(路线!B38&lt;=3,路线!B38,3)+17*路线!B21+22*IF(路线!B37&lt;=3,路线!B37,3)+40))-ROW()*0.00001</f>
        <v>268.99898999999999</v>
      </c>
      <c r="K101" s="1"/>
      <c r="L101" s="84" t="str">
        <f t="shared" si="54"/>
        <v/>
      </c>
      <c r="M101" s="84" t="str">
        <f t="shared" si="55"/>
        <v/>
      </c>
      <c r="N101" s="84" t="str">
        <f t="shared" si="56"/>
        <v/>
      </c>
      <c r="O101" s="84" t="str">
        <f t="shared" si="57"/>
        <v/>
      </c>
      <c r="P101" s="84" t="str">
        <f t="shared" si="58"/>
        <v/>
      </c>
      <c r="Q101" s="84" t="str">
        <f t="shared" si="59"/>
        <v/>
      </c>
      <c r="R101" s="84" t="str">
        <f t="shared" si="60"/>
        <v/>
      </c>
      <c r="S101" s="84" t="str">
        <f t="shared" si="61"/>
        <v/>
      </c>
      <c r="T101" s="84">
        <f t="shared" si="62"/>
        <v>268.99898999999999</v>
      </c>
      <c r="U101" s="1"/>
      <c r="V101" s="1"/>
      <c r="W101" s="1"/>
      <c r="X101" s="1"/>
      <c r="Y101" s="1"/>
      <c r="Z101" s="1"/>
      <c r="AA101" s="1"/>
      <c r="AB101" s="1"/>
      <c r="AC101" s="1"/>
      <c r="AD101" s="84" t="str">
        <f t="shared" si="63"/>
        <v/>
      </c>
      <c r="AE101" s="84" t="str">
        <f t="shared" si="64"/>
        <v/>
      </c>
      <c r="AF101" s="84" t="str">
        <f t="shared" si="65"/>
        <v/>
      </c>
      <c r="AG101" s="1"/>
      <c r="AH101" s="1"/>
      <c r="AI101" s="1"/>
      <c r="AJ101" s="84" t="str">
        <f t="shared" si="66"/>
        <v/>
      </c>
      <c r="AK101" s="84" t="str">
        <f t="shared" si="67"/>
        <v/>
      </c>
      <c r="AL101" s="84" t="str">
        <f t="shared" si="68"/>
        <v/>
      </c>
      <c r="AM101" s="1"/>
      <c r="AN101" s="1"/>
      <c r="AO101" s="1"/>
      <c r="AP101" s="84" t="str">
        <f t="shared" si="69"/>
        <v/>
      </c>
      <c r="AQ101" s="84" t="str">
        <f t="shared" si="70"/>
        <v/>
      </c>
      <c r="AR101" s="84">
        <f t="shared" si="71"/>
        <v>268.99898999999999</v>
      </c>
    </row>
    <row r="102" spans="1:47" ht="19" customHeight="1" x14ac:dyDescent="0.3">
      <c r="A102" s="67" t="s">
        <v>124</v>
      </c>
      <c r="B102" s="67"/>
      <c r="C102" s="67"/>
      <c r="D102" s="89">
        <f>持有情况!BF88-ROW()*0.00001</f>
        <v>91.998980000000003</v>
      </c>
      <c r="E102" s="89">
        <v>3</v>
      </c>
      <c r="F102" s="90">
        <v>0</v>
      </c>
      <c r="G102" s="89">
        <v>3</v>
      </c>
      <c r="H102" s="90">
        <v>0</v>
      </c>
      <c r="I102" s="1"/>
      <c r="J102" s="89">
        <f>INT(45+17+13*路线!B21+30)-ROW()*0.00001</f>
        <v>91.998980000000003</v>
      </c>
      <c r="K102" s="1"/>
      <c r="L102" s="84" t="str">
        <f t="shared" si="54"/>
        <v/>
      </c>
      <c r="M102" s="84" t="str">
        <f t="shared" si="55"/>
        <v/>
      </c>
      <c r="N102" s="84" t="str">
        <f t="shared" si="56"/>
        <v/>
      </c>
      <c r="O102" s="84" t="str">
        <f t="shared" si="57"/>
        <v/>
      </c>
      <c r="P102" s="84" t="str">
        <f t="shared" si="58"/>
        <v/>
      </c>
      <c r="Q102" s="84" t="str">
        <f t="shared" si="59"/>
        <v/>
      </c>
      <c r="R102" s="84" t="str">
        <f t="shared" si="60"/>
        <v/>
      </c>
      <c r="S102" s="84" t="str">
        <f t="shared" si="61"/>
        <v/>
      </c>
      <c r="T102" s="84">
        <f t="shared" si="62"/>
        <v>91.998980000000003</v>
      </c>
      <c r="U102" s="1"/>
      <c r="V102" s="1"/>
      <c r="W102" s="1"/>
      <c r="X102" s="1"/>
      <c r="Y102" s="1"/>
      <c r="Z102" s="1"/>
      <c r="AA102" s="1"/>
      <c r="AB102" s="1"/>
      <c r="AC102" s="1"/>
      <c r="AD102" s="84" t="str">
        <f t="shared" si="63"/>
        <v/>
      </c>
      <c r="AE102" s="84" t="str">
        <f t="shared" si="64"/>
        <v/>
      </c>
      <c r="AF102" s="84" t="str">
        <f t="shared" si="65"/>
        <v/>
      </c>
      <c r="AG102" s="1"/>
      <c r="AH102" s="1"/>
      <c r="AI102" s="1"/>
      <c r="AJ102" s="84" t="str">
        <f t="shared" si="66"/>
        <v/>
      </c>
      <c r="AK102" s="84" t="str">
        <f t="shared" si="67"/>
        <v/>
      </c>
      <c r="AL102" s="84" t="str">
        <f t="shared" si="68"/>
        <v/>
      </c>
      <c r="AM102" s="1"/>
      <c r="AN102" s="1"/>
      <c r="AO102" s="1"/>
      <c r="AP102" s="84" t="str">
        <f t="shared" si="69"/>
        <v/>
      </c>
      <c r="AQ102" s="84" t="str">
        <f t="shared" si="70"/>
        <v/>
      </c>
      <c r="AR102" s="84">
        <f t="shared" si="71"/>
        <v>91.998980000000003</v>
      </c>
    </row>
    <row r="103" spans="1:47" ht="19" customHeight="1" x14ac:dyDescent="0.3">
      <c r="A103" s="67" t="s">
        <v>148</v>
      </c>
      <c r="B103" s="67"/>
      <c r="C103" s="67"/>
      <c r="D103" s="89">
        <f>持有情况!AB118-ROW()*0.00001</f>
        <v>80.99897</v>
      </c>
      <c r="E103" s="90">
        <v>0</v>
      </c>
      <c r="F103" s="90">
        <v>0</v>
      </c>
      <c r="G103" s="89">
        <v>3</v>
      </c>
      <c r="H103" s="89">
        <v>1</v>
      </c>
      <c r="I103" s="84" t="s">
        <v>337</v>
      </c>
      <c r="J103" s="89">
        <f>INT((8.5/100)*路线!B13+2*路线!B23+13*路线!B21+40)-ROW()*0.00001</f>
        <v>80.99897</v>
      </c>
      <c r="K103" s="1"/>
      <c r="L103" s="84" t="str">
        <f t="shared" si="54"/>
        <v/>
      </c>
      <c r="M103" s="84" t="str">
        <f t="shared" si="55"/>
        <v/>
      </c>
      <c r="N103" s="84" t="str">
        <f t="shared" si="56"/>
        <v/>
      </c>
      <c r="O103" s="84" t="str">
        <f t="shared" si="57"/>
        <v/>
      </c>
      <c r="P103" s="84" t="str">
        <f t="shared" si="58"/>
        <v/>
      </c>
      <c r="Q103" s="84" t="str">
        <f t="shared" si="59"/>
        <v/>
      </c>
      <c r="R103" s="84">
        <f t="shared" si="60"/>
        <v>80.99897</v>
      </c>
      <c r="S103" s="84">
        <f t="shared" si="61"/>
        <v>80.99897</v>
      </c>
      <c r="T103" s="84">
        <f t="shared" si="62"/>
        <v>80.99897</v>
      </c>
      <c r="U103" s="1"/>
      <c r="V103" s="1"/>
      <c r="W103" s="1"/>
      <c r="X103" s="1"/>
      <c r="Y103" s="1"/>
      <c r="Z103" s="1"/>
      <c r="AA103" s="1"/>
      <c r="AB103" s="1"/>
      <c r="AC103" s="1"/>
      <c r="AD103" s="84" t="str">
        <f t="shared" si="63"/>
        <v/>
      </c>
      <c r="AE103" s="84" t="str">
        <f t="shared" si="64"/>
        <v/>
      </c>
      <c r="AF103" s="84">
        <f t="shared" si="65"/>
        <v>80.99897</v>
      </c>
      <c r="AG103" s="1"/>
      <c r="AH103" s="1"/>
      <c r="AI103" s="1"/>
      <c r="AJ103" s="84" t="str">
        <f t="shared" si="66"/>
        <v/>
      </c>
      <c r="AK103" s="84" t="str">
        <f t="shared" si="67"/>
        <v/>
      </c>
      <c r="AL103" s="84">
        <f t="shared" si="68"/>
        <v>80.99897</v>
      </c>
      <c r="AM103" s="1"/>
      <c r="AN103" s="1"/>
      <c r="AO103" s="1"/>
      <c r="AP103" s="84" t="str">
        <f t="shared" si="69"/>
        <v/>
      </c>
      <c r="AQ103" s="84" t="str">
        <f t="shared" si="70"/>
        <v/>
      </c>
      <c r="AR103" s="84">
        <f t="shared" si="71"/>
        <v>80.99897</v>
      </c>
    </row>
    <row r="104" spans="1:47" ht="19" customHeight="1" x14ac:dyDescent="0.3">
      <c r="A104" s="75" t="s">
        <v>147</v>
      </c>
      <c r="B104" s="75"/>
      <c r="C104" s="75"/>
      <c r="D104" s="89">
        <f>持有情况!R118-ROW()*0.00001</f>
        <v>169.99896000000001</v>
      </c>
      <c r="E104" s="89">
        <v>3</v>
      </c>
      <c r="F104" s="89">
        <v>1</v>
      </c>
      <c r="G104" s="89">
        <v>2</v>
      </c>
      <c r="H104" s="89">
        <v>1</v>
      </c>
      <c r="I104" s="84" t="s">
        <v>338</v>
      </c>
      <c r="J104" s="89">
        <f>INT(60+17*路线!B21+5*路线!B40+40)-ROW()*0.00001</f>
        <v>169.99896000000001</v>
      </c>
      <c r="K104" s="1"/>
      <c r="L104" s="84" t="str">
        <f t="shared" si="54"/>
        <v/>
      </c>
      <c r="M104" s="84" t="str">
        <f t="shared" si="55"/>
        <v/>
      </c>
      <c r="N104" s="84" t="str">
        <f t="shared" si="56"/>
        <v/>
      </c>
      <c r="O104" s="84" t="str">
        <f t="shared" si="57"/>
        <v/>
      </c>
      <c r="P104" s="84" t="str">
        <f t="shared" si="58"/>
        <v/>
      </c>
      <c r="Q104" s="84">
        <f t="shared" si="59"/>
        <v>169.99896000000001</v>
      </c>
      <c r="R104" s="84" t="str">
        <f t="shared" si="60"/>
        <v/>
      </c>
      <c r="S104" s="84" t="str">
        <f t="shared" si="61"/>
        <v/>
      </c>
      <c r="T104" s="84" t="str">
        <f t="shared" si="62"/>
        <v/>
      </c>
      <c r="U104" s="84" t="str">
        <f>IF(AND(OR(E104=1,E104=0),G104=1,F104=1),D104,"")</f>
        <v/>
      </c>
      <c r="V104" s="84" t="str">
        <f>IF(AND(OR(E104=1,E104=0),G104=2,F104=1),D104,"")</f>
        <v/>
      </c>
      <c r="W104" s="84" t="str">
        <f>IF(AND(OR(E104=1,E104=0),G104=3,F104=1),D104,"")</f>
        <v/>
      </c>
      <c r="X104" s="84" t="str">
        <f>IF(AND(OR(E104=2,E104=0),G104=1,F104=1),D104,"")</f>
        <v/>
      </c>
      <c r="Y104" s="84" t="str">
        <f>IF(AND(OR(E104=2,E104=0),G104=2,F104=1),D104,"")</f>
        <v/>
      </c>
      <c r="Z104" s="84" t="str">
        <f>IF(AND(OR(E104=2,E104=0),G104=3,F104=1),D104,"")</f>
        <v/>
      </c>
      <c r="AA104" s="84" t="str">
        <f>IF(AND(OR(E104=3,E104=0),G104=1,F104=1),D104,"")</f>
        <v/>
      </c>
      <c r="AB104" s="84">
        <f>IF(AND(OR(E104=3,E104=0),G104=2,F104=1),D104,"")</f>
        <v>169.99896000000001</v>
      </c>
      <c r="AC104" s="84" t="str">
        <f>IF(AND(OR(E104=3,E104=0),G104=3,F104=1),D104,"")</f>
        <v/>
      </c>
      <c r="AD104" s="84" t="str">
        <f>IF(AND(OR(E104=1,E104=0),G104=1,F104=0),J104,"")</f>
        <v/>
      </c>
      <c r="AE104" s="84" t="str">
        <f>IF(AND(OR(E104=1,E104=0),G104=2,F104=0),J104,"")</f>
        <v/>
      </c>
      <c r="AF104" s="84" t="str">
        <f>IF(AND(OR(E104=1,E104=0),G104=3,F104=0),J104,"")</f>
        <v/>
      </c>
      <c r="AG104" s="84" t="str">
        <f>IF(AND(OR(E104=1,E104=0),G104=1,F104=1),J104,"")</f>
        <v/>
      </c>
      <c r="AH104" s="84" t="str">
        <f>IF(AND(OR(E104=1,E104=0),G104=2,F104=1),J104,"")</f>
        <v/>
      </c>
      <c r="AI104" s="84" t="str">
        <f>IF(AND(OR(E104=1,E104=0),G104=3,F104=1),J104,"")</f>
        <v/>
      </c>
      <c r="AJ104" s="84" t="str">
        <f>IF(AND(OR(E104=2,E104=0),G104=1,F104=0),J104,"")</f>
        <v/>
      </c>
      <c r="AK104" s="84" t="str">
        <f>IF(AND(OR(E104=2,E104=0),G104=2,F104=0),J104,"")</f>
        <v/>
      </c>
      <c r="AL104" s="84" t="str">
        <f>IF(AND(OR(E104=2,E104=0),G104=3,F104=0),J104,"")</f>
        <v/>
      </c>
      <c r="AM104" s="84" t="str">
        <f>IF(AND(OR(E104=2,E104=0),G104=1,F104=1),J104,"")</f>
        <v/>
      </c>
      <c r="AN104" s="84" t="str">
        <f>IF(AND(OR(E104=2,E104=0),G104=2,F104=1),J104,"")</f>
        <v/>
      </c>
      <c r="AO104" s="84" t="str">
        <f>IF(AND(OR(E104=2,E104=0),G104=3,F104=1),J104,"")</f>
        <v/>
      </c>
      <c r="AP104" s="84" t="str">
        <f>IF(AND(OR(E104=3,E104=0),G104=1,F104=0),J104,"")</f>
        <v/>
      </c>
      <c r="AQ104" s="84" t="str">
        <f>IF(AND(OR(E104=3,E104=0),G104=2,F104=0),J104,"")</f>
        <v/>
      </c>
      <c r="AR104" s="84" t="str">
        <f>IF(AND(OR(E104=3,E104=0),G104=3,F104=0),J104,"")</f>
        <v/>
      </c>
      <c r="AS104" s="84" t="str">
        <f>IF(AND(OR(E104=3,E104=0),G104=1,F104=1),J104,"")</f>
        <v/>
      </c>
      <c r="AT104" s="84">
        <f>IF(AND(OR(E104=3,E104=0),G104=2,F104=1),J104,"")</f>
        <v>169.99896000000001</v>
      </c>
      <c r="AU104" s="84" t="str">
        <f>IF(AND(OR(E104=3,E104=0),G104=3,F104=1),J104,"")</f>
        <v/>
      </c>
    </row>
    <row r="105" spans="1:47" ht="19" customHeight="1" x14ac:dyDescent="0.3">
      <c r="A105" s="75" t="s">
        <v>141</v>
      </c>
      <c r="B105" s="75"/>
      <c r="C105" s="75"/>
      <c r="D105" s="89">
        <f>IF(路线!B4="计算",持有情况!AW108,持有情况!AV106)-ROW()*0.00001</f>
        <v>146.99895000000001</v>
      </c>
      <c r="E105" s="89">
        <v>3</v>
      </c>
      <c r="F105" s="89">
        <v>1</v>
      </c>
      <c r="G105" s="89">
        <v>2</v>
      </c>
      <c r="H105" s="90">
        <v>0</v>
      </c>
      <c r="I105" s="1"/>
      <c r="J105" s="89">
        <f>IF(路线!B4="计算",INT(45+3*(路线!B28+路线!B29)+13*路线!B21+30+持有情况!AW105),INT(45+3*(路线!B28+路线!B29)+13*路线!B21+30))-ROW()*0.00001</f>
        <v>146.99895000000001</v>
      </c>
      <c r="K105" s="1"/>
      <c r="L105" s="84" t="str">
        <f t="shared" si="54"/>
        <v/>
      </c>
      <c r="M105" s="84" t="str">
        <f t="shared" si="55"/>
        <v/>
      </c>
      <c r="N105" s="84" t="str">
        <f t="shared" si="56"/>
        <v/>
      </c>
      <c r="O105" s="84" t="str">
        <f t="shared" si="57"/>
        <v/>
      </c>
      <c r="P105" s="84" t="str">
        <f t="shared" si="58"/>
        <v/>
      </c>
      <c r="Q105" s="84">
        <f t="shared" si="59"/>
        <v>146.99895000000001</v>
      </c>
      <c r="R105" s="84" t="str">
        <f t="shared" si="60"/>
        <v/>
      </c>
      <c r="S105" s="84" t="str">
        <f t="shared" si="61"/>
        <v/>
      </c>
      <c r="T105" s="84" t="str">
        <f t="shared" si="62"/>
        <v/>
      </c>
      <c r="U105" s="84" t="str">
        <f>IF(AND(OR(E105=1,E105=0),G105=1,F105=1),D105,"")</f>
        <v/>
      </c>
      <c r="V105" s="84" t="str">
        <f>IF(AND(OR(E105=1,E105=0),G105=2,F105=1),D105,"")</f>
        <v/>
      </c>
      <c r="W105" s="84" t="str">
        <f>IF(AND(OR(E105=1,E105=0),G105=3,F105=1),D105,"")</f>
        <v/>
      </c>
      <c r="X105" s="84" t="str">
        <f>IF(AND(OR(E105=2,E105=0),G105=1,F105=1),D105,"")</f>
        <v/>
      </c>
      <c r="Y105" s="84" t="str">
        <f>IF(AND(OR(E105=2,E105=0),G105=2,F105=1),D105,"")</f>
        <v/>
      </c>
      <c r="Z105" s="84" t="str">
        <f>IF(AND(OR(E105=2,E105=0),G105=3,F105=1),D105,"")</f>
        <v/>
      </c>
      <c r="AA105" s="84" t="str">
        <f>IF(AND(OR(E105=3,E105=0),G105=1,F105=1),D105,"")</f>
        <v/>
      </c>
      <c r="AB105" s="84">
        <f>IF(AND(OR(E105=3,E105=0),G105=2,F105=1),D105,"")</f>
        <v>146.99895000000001</v>
      </c>
      <c r="AC105" s="84" t="str">
        <f>IF(AND(OR(E105=3,E105=0),G105=3,F105=1),D105,"")</f>
        <v/>
      </c>
      <c r="AD105" s="84" t="str">
        <f>IF(AND(OR(E105=1,E105=0),G105=1,F105=0),J105,"")</f>
        <v/>
      </c>
      <c r="AE105" s="84" t="str">
        <f>IF(AND(OR(E105=1,E105=0),G105=2,F105=0),J105,"")</f>
        <v/>
      </c>
      <c r="AF105" s="84" t="str">
        <f>IF(AND(OR(E105=1,E105=0),G105=3,F105=0),J105,"")</f>
        <v/>
      </c>
      <c r="AG105" s="84" t="str">
        <f>IF(AND(OR(E105=1,E105=0),G105=1,F105=1),J105,"")</f>
        <v/>
      </c>
      <c r="AH105" s="84" t="str">
        <f>IF(AND(OR(E105=1,E105=0),G105=2,F105=1),J105,"")</f>
        <v/>
      </c>
      <c r="AI105" s="84" t="str">
        <f>IF(AND(OR(E105=1,E105=0),G105=3,F105=1),J105,"")</f>
        <v/>
      </c>
      <c r="AJ105" s="84" t="str">
        <f>IF(AND(OR(E105=2,E105=0),G105=1,F105=0),J105,"")</f>
        <v/>
      </c>
      <c r="AK105" s="84" t="str">
        <f>IF(AND(OR(E105=2,E105=0),G105=2,F105=0),J105,"")</f>
        <v/>
      </c>
      <c r="AL105" s="84" t="str">
        <f>IF(AND(OR(E105=2,E105=0),G105=3,F105=0),J105,"")</f>
        <v/>
      </c>
      <c r="AM105" s="84" t="str">
        <f>IF(AND(OR(E105=2,E105=0),G105=1,F105=1),J105,"")</f>
        <v/>
      </c>
      <c r="AN105" s="84" t="str">
        <f>IF(AND(OR(E105=2,E105=0),G105=2,F105=1),J105,"")</f>
        <v/>
      </c>
      <c r="AO105" s="84" t="str">
        <f>IF(AND(OR(E105=2,E105=0),G105=3,F105=1),J105,"")</f>
        <v/>
      </c>
      <c r="AP105" s="84" t="str">
        <f>IF(AND(OR(E105=3,E105=0),G105=1,F105=0),J105,"")</f>
        <v/>
      </c>
      <c r="AQ105" s="84" t="str">
        <f>IF(AND(OR(E105=3,E105=0),G105=2,F105=0),J105,"")</f>
        <v/>
      </c>
      <c r="AR105" s="84" t="str">
        <f>IF(AND(OR(E105=3,E105=0),G105=3,F105=0),J105,"")</f>
        <v/>
      </c>
      <c r="AS105" s="84" t="str">
        <f>IF(AND(OR(E105=3,E105=0),G105=1,F105=1),J105,"")</f>
        <v/>
      </c>
      <c r="AT105" s="84">
        <f>IF(AND(OR(E105=3,E105=0),G105=2,F105=1),J105,"")</f>
        <v>146.99895000000001</v>
      </c>
      <c r="AU105" s="84" t="str">
        <f>IF(AND(OR(E105=3,E105=0),G105=3,F105=1),J105,"")</f>
        <v/>
      </c>
    </row>
    <row r="106" spans="1:47" ht="19" customHeight="1" x14ac:dyDescent="0.3">
      <c r="A106" s="66" t="s">
        <v>138</v>
      </c>
      <c r="B106" s="66"/>
      <c r="C106" s="66"/>
      <c r="D106" s="86">
        <f>持有情况!H106-ROW()*0.00001</f>
        <v>115.99894</v>
      </c>
      <c r="E106" s="86">
        <v>3</v>
      </c>
      <c r="F106" s="86">
        <v>1</v>
      </c>
      <c r="G106" s="86">
        <v>1</v>
      </c>
      <c r="H106" s="86">
        <v>1</v>
      </c>
      <c r="I106" s="86" t="s">
        <v>339</v>
      </c>
      <c r="J106" s="86">
        <f>INT(60+7*路线!B28+5*路线!B30+40)-ROW()*0.00001</f>
        <v>148.99894</v>
      </c>
      <c r="K106" s="4"/>
      <c r="L106" s="87" t="str">
        <f t="shared" si="54"/>
        <v/>
      </c>
      <c r="M106" s="87" t="str">
        <f t="shared" si="55"/>
        <v/>
      </c>
      <c r="N106" s="87">
        <f t="shared" si="56"/>
        <v>115.99894</v>
      </c>
      <c r="O106" s="87" t="str">
        <f t="shared" si="57"/>
        <v/>
      </c>
      <c r="P106" s="87" t="str">
        <f t="shared" si="58"/>
        <v/>
      </c>
      <c r="Q106" s="87" t="str">
        <f t="shared" si="59"/>
        <v/>
      </c>
      <c r="R106" s="87" t="str">
        <f t="shared" si="60"/>
        <v/>
      </c>
      <c r="S106" s="87" t="str">
        <f t="shared" si="61"/>
        <v/>
      </c>
      <c r="T106" s="87" t="str">
        <f t="shared" si="62"/>
        <v/>
      </c>
      <c r="U106" s="3"/>
      <c r="V106" s="3"/>
      <c r="W106" s="3"/>
      <c r="X106" s="3"/>
      <c r="Y106" s="3"/>
      <c r="Z106" s="3"/>
      <c r="AA106" s="3"/>
      <c r="AB106" s="3"/>
      <c r="AC106" s="3"/>
      <c r="AD106" s="87" t="str">
        <f>IF(AND(OR(E106=1,E106=0),G106=1),J106,"")</f>
        <v/>
      </c>
      <c r="AE106" s="87" t="str">
        <f>IF(AND(OR(E106=1,E106=0),G106=2),J106,"")</f>
        <v/>
      </c>
      <c r="AF106" s="87" t="str">
        <f>IF(AND(OR(E106=1,E106=0),G106=3),J106,"")</f>
        <v/>
      </c>
      <c r="AG106" s="3"/>
      <c r="AH106" s="3"/>
      <c r="AI106" s="3"/>
      <c r="AJ106" s="87" t="str">
        <f>IF(AND(OR(E106=2,E106=0),G106=1),J106,"")</f>
        <v/>
      </c>
      <c r="AK106" s="87" t="str">
        <f>IF(AND(OR(E106=2,E106=0),G106=2),J106,"")</f>
        <v/>
      </c>
      <c r="AL106" s="87" t="str">
        <f>IF(AND(OR(E106=2,E106=0),G106=3),J106,"")</f>
        <v/>
      </c>
      <c r="AM106" s="3"/>
      <c r="AN106" s="3"/>
      <c r="AO106" s="3"/>
      <c r="AP106" s="87">
        <f>IF(AND(OR(E106=3,E106=0),G106=1),J106,"")</f>
        <v>148.99894</v>
      </c>
      <c r="AQ106" s="87" t="str">
        <f>IF(AND(OR(E106=3,E106=0),G106=2),J106,"")</f>
        <v/>
      </c>
      <c r="AR106" s="87" t="str">
        <f>IF(AND(OR(E106=3,E106=0),G106=3),J106,"")</f>
        <v/>
      </c>
      <c r="AS106" s="4"/>
      <c r="AT106" s="4"/>
      <c r="AU106" s="4"/>
    </row>
    <row r="107" spans="1:47" ht="19" customHeight="1" x14ac:dyDescent="0.3">
      <c r="A107" s="92" t="s">
        <v>150</v>
      </c>
      <c r="B107" s="92"/>
      <c r="C107" s="92"/>
      <c r="D107" s="86">
        <f>持有情况!R124-ROW()*0.00001</f>
        <v>88.998930000000001</v>
      </c>
      <c r="E107" s="86">
        <v>1</v>
      </c>
      <c r="F107" s="86">
        <v>1</v>
      </c>
      <c r="G107" s="86">
        <v>2</v>
      </c>
      <c r="H107" s="86">
        <v>1</v>
      </c>
      <c r="I107" s="86" t="s">
        <v>340</v>
      </c>
      <c r="J107" s="86">
        <f>INT(60+17+13*路线!B21+40)-ROW()*0.00001</f>
        <v>116.99893</v>
      </c>
      <c r="K107" s="4"/>
      <c r="L107" s="87" t="str">
        <f t="shared" si="54"/>
        <v/>
      </c>
      <c r="M107" s="87" t="str">
        <f t="shared" si="55"/>
        <v/>
      </c>
      <c r="N107" s="87" t="str">
        <f t="shared" si="56"/>
        <v/>
      </c>
      <c r="O107" s="87">
        <f t="shared" si="57"/>
        <v>88.998930000000001</v>
      </c>
      <c r="P107" s="87" t="str">
        <f t="shared" si="58"/>
        <v/>
      </c>
      <c r="Q107" s="87" t="str">
        <f t="shared" si="59"/>
        <v/>
      </c>
      <c r="R107" s="87" t="str">
        <f t="shared" si="60"/>
        <v/>
      </c>
      <c r="S107" s="87" t="str">
        <f t="shared" si="61"/>
        <v/>
      </c>
      <c r="T107" s="87" t="str">
        <f t="shared" si="62"/>
        <v/>
      </c>
      <c r="U107" s="87" t="str">
        <f>IF(AND(OR(E107=1,E107=0),G107=1,F107=1),D107,"")</f>
        <v/>
      </c>
      <c r="V107" s="87">
        <f>IF(AND(OR(E107=1,E107=0),G107=2,F107=1),D107,"")</f>
        <v>88.998930000000001</v>
      </c>
      <c r="W107" s="87" t="str">
        <f>IF(AND(OR(E107=1,E107=0),G107=3,F107=1),D107,"")</f>
        <v/>
      </c>
      <c r="X107" s="87" t="str">
        <f>IF(AND(OR(E107=2,E107=0),G107=1,F107=1),D107,"")</f>
        <v/>
      </c>
      <c r="Y107" s="87" t="str">
        <f>IF(AND(OR(E107=2,E107=0),G107=2,F107=1),D107,"")</f>
        <v/>
      </c>
      <c r="Z107" s="87" t="str">
        <f>IF(AND(OR(E107=2,E107=0),G107=3,F107=1),D107,"")</f>
        <v/>
      </c>
      <c r="AA107" s="87" t="str">
        <f>IF(AND(OR(E107=3,E107=0),G107=1,F107=1),D107,"")</f>
        <v/>
      </c>
      <c r="AB107" s="87" t="str">
        <f>IF(AND(OR(E107=3,E107=0),G107=2,F107=1),D107,"")</f>
        <v/>
      </c>
      <c r="AC107" s="87" t="str">
        <f>IF(AND(OR(E107=3,E107=0),G107=3,F107=1),D107,"")</f>
        <v/>
      </c>
      <c r="AD107" s="87" t="str">
        <f>IF(AND(OR(E107=1,E107=0),G107=1,F107=0),J107,"")</f>
        <v/>
      </c>
      <c r="AE107" s="87" t="str">
        <f>IF(AND(OR(E107=1,E107=0),G107=2,F107=0),J107,"")</f>
        <v/>
      </c>
      <c r="AF107" s="87" t="str">
        <f>IF(AND(OR(E107=1,E107=0),G107=3,F107=0),J107,"")</f>
        <v/>
      </c>
      <c r="AG107" s="87" t="str">
        <f>IF(AND(OR(E107=1,E107=0),G107=1,F107=1),J107,"")</f>
        <v/>
      </c>
      <c r="AH107" s="87">
        <f>IF(AND(OR(E107=1,E107=0),G107=2,F107=1),J107,"")</f>
        <v>116.99893</v>
      </c>
      <c r="AI107" s="87" t="str">
        <f>IF(AND(OR(E107=1,E107=0),G107=3,F107=1),J107,"")</f>
        <v/>
      </c>
      <c r="AJ107" s="87" t="str">
        <f>IF(AND(OR(E107=2,E107=0),G107=1,F107=0),J107,"")</f>
        <v/>
      </c>
      <c r="AK107" s="87" t="str">
        <f>IF(AND(OR(E107=2,E107=0),G107=2,F107=0),J107,"")</f>
        <v/>
      </c>
      <c r="AL107" s="87" t="str">
        <f>IF(AND(OR(E107=2,E107=0),G107=3,F107=0),J107,"")</f>
        <v/>
      </c>
      <c r="AM107" s="87" t="str">
        <f>IF(AND(OR(E107=2,E107=0),G107=1,F107=1),J107,"")</f>
        <v/>
      </c>
      <c r="AN107" s="87" t="str">
        <f>IF(AND(OR(E107=2,E107=0),G107=2,F107=1),J107,"")</f>
        <v/>
      </c>
      <c r="AO107" s="87" t="str">
        <f>IF(AND(OR(E107=2,E107=0),G107=3,F107=1),J107,"")</f>
        <v/>
      </c>
      <c r="AP107" s="87" t="str">
        <f>IF(AND(OR(E107=3,E107=0),G107=1,F107=0),J107,"")</f>
        <v/>
      </c>
      <c r="AQ107" s="87" t="str">
        <f>IF(AND(OR(E107=3,E107=0),G107=2,F107=0),J107,"")</f>
        <v/>
      </c>
      <c r="AR107" s="87" t="str">
        <f>IF(AND(OR(E107=3,E107=0),G107=3,F107=0),J107,"")</f>
        <v/>
      </c>
      <c r="AS107" s="87" t="str">
        <f>IF(AND(OR(E107=3,E107=0),G107=1,F107=1),J107,"")</f>
        <v/>
      </c>
      <c r="AT107" s="87" t="str">
        <f>IF(AND(OR(E107=3,E107=0),G107=2,F107=1),J107,"")</f>
        <v/>
      </c>
      <c r="AU107" s="87" t="str">
        <f>IF(AND(OR(E107=3,E107=0),G107=3,F107=1),J107,"")</f>
        <v/>
      </c>
    </row>
    <row r="108" spans="1:47" ht="19" customHeight="1" x14ac:dyDescent="0.3">
      <c r="A108" s="88" t="s">
        <v>151</v>
      </c>
      <c r="B108" s="88"/>
      <c r="C108" s="88"/>
      <c r="D108" s="86">
        <f>持有情况!AB124-ROW()*0.00001</f>
        <v>99.998919999999998</v>
      </c>
      <c r="E108" s="86">
        <v>2</v>
      </c>
      <c r="F108" s="86">
        <v>1</v>
      </c>
      <c r="G108" s="86">
        <v>3</v>
      </c>
      <c r="H108" s="86">
        <v>1</v>
      </c>
      <c r="I108" s="86" t="s">
        <v>341</v>
      </c>
      <c r="J108" s="86">
        <f>INT(60+7*路线!B29+2*路线!B24+40)-ROW()*0.00001</f>
        <v>137.99892</v>
      </c>
      <c r="K108" s="4"/>
      <c r="L108" s="87" t="str">
        <f t="shared" si="54"/>
        <v/>
      </c>
      <c r="M108" s="87" t="str">
        <f t="shared" si="55"/>
        <v/>
      </c>
      <c r="N108" s="87" t="str">
        <f t="shared" si="56"/>
        <v/>
      </c>
      <c r="O108" s="87" t="str">
        <f t="shared" si="57"/>
        <v/>
      </c>
      <c r="P108" s="87" t="str">
        <f t="shared" si="58"/>
        <v/>
      </c>
      <c r="Q108" s="87" t="str">
        <f t="shared" si="59"/>
        <v/>
      </c>
      <c r="R108" s="87" t="str">
        <f t="shared" si="60"/>
        <v/>
      </c>
      <c r="S108" s="87">
        <f t="shared" si="61"/>
        <v>99.998919999999998</v>
      </c>
      <c r="T108" s="87" t="str">
        <f t="shared" si="62"/>
        <v/>
      </c>
      <c r="U108" s="87" t="str">
        <f>IF(AND(OR(E108=1,E108=0),G108=1,F108=1),D108,"")</f>
        <v/>
      </c>
      <c r="V108" s="87" t="str">
        <f>IF(AND(OR(E108=1,E108=0),G108=2,F108=1),D108,"")</f>
        <v/>
      </c>
      <c r="W108" s="87" t="str">
        <f>IF(AND(OR(E108=1,E108=0),G108=3,F108=1),D108,"")</f>
        <v/>
      </c>
      <c r="X108" s="87" t="str">
        <f>IF(AND(OR(E108=2,E108=0),G108=1,F108=1),D108,"")</f>
        <v/>
      </c>
      <c r="Y108" s="87" t="str">
        <f>IF(AND(OR(E108=2,E108=0),G108=2,F108=1),D108,"")</f>
        <v/>
      </c>
      <c r="Z108" s="87">
        <f>IF(AND(OR(E108=2,E108=0),G108=3,F108=1),D108,"")</f>
        <v>99.998919999999998</v>
      </c>
      <c r="AA108" s="87" t="str">
        <f>IF(AND(OR(E108=3,E108=0),G108=1,F108=1),D108,"")</f>
        <v/>
      </c>
      <c r="AB108" s="87" t="str">
        <f>IF(AND(OR(E108=3,E108=0),G108=2,F108=1),D108,"")</f>
        <v/>
      </c>
      <c r="AC108" s="87" t="str">
        <f>IF(AND(OR(E108=3,E108=0),G108=3,F108=1),D108,"")</f>
        <v/>
      </c>
      <c r="AD108" s="87" t="str">
        <f>IF(AND(OR(E108=1,E108=0),G108=1,F108=0),J108,"")</f>
        <v/>
      </c>
      <c r="AE108" s="87" t="str">
        <f>IF(AND(OR(E108=1,E108=0),G108=2,F108=0),J108,"")</f>
        <v/>
      </c>
      <c r="AF108" s="87" t="str">
        <f>IF(AND(OR(E108=1,E108=0),G108=3,F108=0),J108,"")</f>
        <v/>
      </c>
      <c r="AG108" s="87" t="str">
        <f>IF(AND(OR(E108=1,E108=0),G108=1,F108=1),J108,"")</f>
        <v/>
      </c>
      <c r="AH108" s="87" t="str">
        <f>IF(AND(OR(E108=1,E108=0),G108=2,F108=1),J108,"")</f>
        <v/>
      </c>
      <c r="AI108" s="87" t="str">
        <f>IF(AND(OR(E108=1,E108=0),G108=3,F108=1),J108,"")</f>
        <v/>
      </c>
      <c r="AJ108" s="87" t="str">
        <f>IF(AND(OR(E108=2,E108=0),G108=1,F108=0),J108,"")</f>
        <v/>
      </c>
      <c r="AK108" s="87" t="str">
        <f>IF(AND(OR(E108=2,E108=0),G108=2,F108=0),J108,"")</f>
        <v/>
      </c>
      <c r="AL108" s="87" t="str">
        <f>IF(AND(OR(E108=2,E108=0),G108=3,F108=0),J108,"")</f>
        <v/>
      </c>
      <c r="AM108" s="87" t="str">
        <f>IF(AND(OR(E108=2,E108=0),G108=1,F108=1),J108,"")</f>
        <v/>
      </c>
      <c r="AN108" s="87" t="str">
        <f>IF(AND(OR(E108=2,E108=0),G108=2,F108=1),J108,"")</f>
        <v/>
      </c>
      <c r="AO108" s="87">
        <f>IF(AND(OR(E108=2,E108=0),G108=3,F108=1),J108,"")</f>
        <v>137.99892</v>
      </c>
      <c r="AP108" s="87" t="str">
        <f>IF(AND(OR(E108=3,E108=0),G108=1,F108=0),J108,"")</f>
        <v/>
      </c>
      <c r="AQ108" s="87" t="str">
        <f>IF(AND(OR(E108=3,E108=0),G108=2,F108=0),J108,"")</f>
        <v/>
      </c>
      <c r="AR108" s="87" t="str">
        <f>IF(AND(OR(E108=3,E108=0),G108=3,F108=0),J108,"")</f>
        <v/>
      </c>
      <c r="AS108" s="87" t="str">
        <f>IF(AND(OR(E108=3,E108=0),G108=1,F108=1),J108,"")</f>
        <v/>
      </c>
      <c r="AT108" s="87" t="str">
        <f>IF(AND(OR(E108=3,E108=0),G108=2,F108=1),J108,"")</f>
        <v/>
      </c>
      <c r="AU108" s="87" t="str">
        <f>IF(AND(OR(E108=3,E108=0),G108=3,F108=1),J108,"")</f>
        <v/>
      </c>
    </row>
    <row r="109" spans="1:47" ht="19" customHeight="1" x14ac:dyDescent="0.3">
      <c r="A109" s="88" t="s">
        <v>152</v>
      </c>
      <c r="B109" s="88"/>
      <c r="C109" s="88"/>
      <c r="D109" s="86">
        <f>持有情况!AB130-ROW()*0.00001</f>
        <v>245.99891</v>
      </c>
      <c r="E109" s="86">
        <v>2</v>
      </c>
      <c r="F109" s="86">
        <v>0</v>
      </c>
      <c r="G109" s="86">
        <v>3</v>
      </c>
      <c r="H109" s="86">
        <v>0</v>
      </c>
      <c r="I109" s="86"/>
      <c r="J109" s="86">
        <f>INT((8.5/100)*路线!B13+4*路线!B27+IF(路线!B41&gt;6,6,路线!B41)*11+17*路线!B34+40)-ROW()*0.00001</f>
        <v>245.99891</v>
      </c>
      <c r="K109" s="86"/>
      <c r="L109" s="87" t="str">
        <f t="shared" si="54"/>
        <v/>
      </c>
      <c r="M109" s="87" t="str">
        <f t="shared" si="55"/>
        <v/>
      </c>
      <c r="N109" s="87" t="str">
        <f t="shared" si="56"/>
        <v/>
      </c>
      <c r="O109" s="87" t="str">
        <f t="shared" si="57"/>
        <v/>
      </c>
      <c r="P109" s="87" t="str">
        <f t="shared" si="58"/>
        <v/>
      </c>
      <c r="Q109" s="87" t="str">
        <f t="shared" si="59"/>
        <v/>
      </c>
      <c r="R109" s="87" t="str">
        <f t="shared" si="60"/>
        <v/>
      </c>
      <c r="S109" s="87">
        <f t="shared" si="61"/>
        <v>245.99891</v>
      </c>
      <c r="T109" s="87" t="str">
        <f t="shared" si="62"/>
        <v/>
      </c>
      <c r="U109" s="87" t="str">
        <f>IF(AND(OR(E109=1,E109=0),G109=1,F109=1),D109,"")</f>
        <v/>
      </c>
      <c r="V109" s="87" t="str">
        <f>IF(AND(OR(E109=1,E109=0),G109=2,F109=1),D109,"")</f>
        <v/>
      </c>
      <c r="W109" s="87" t="str">
        <f>IF(AND(OR(E109=1,E109=0),G109=3,F109=1),D109,"")</f>
        <v/>
      </c>
      <c r="X109" s="87" t="str">
        <f>IF(AND(OR(E109=2,E109=0),G109=1,F109=1),D109,"")</f>
        <v/>
      </c>
      <c r="Y109" s="87" t="str">
        <f>IF(AND(OR(E109=2,E109=0),G109=2,F109=1),D109,"")</f>
        <v/>
      </c>
      <c r="Z109" s="87" t="str">
        <f>IF(AND(OR(E109=2,E109=0),G109=3,F109=1),D109,"")</f>
        <v/>
      </c>
      <c r="AA109" s="87" t="str">
        <f>IF(AND(OR(E109=3,E109=0),G109=1,F109=1),D109,"")</f>
        <v/>
      </c>
      <c r="AB109" s="87" t="str">
        <f>IF(AND(OR(E109=3,E109=0),G109=2,F109=1),D109,"")</f>
        <v/>
      </c>
      <c r="AC109" s="87" t="str">
        <f>IF(AND(OR(E109=3,E109=0),G109=3,F109=1),D109,"")</f>
        <v/>
      </c>
      <c r="AD109" s="87" t="str">
        <f>IF(AND(OR(E109=1,E109=0),G109=1,F109=0),J109,"")</f>
        <v/>
      </c>
      <c r="AE109" s="87" t="str">
        <f>IF(AND(OR(E109=1,E109=0),G109=2,F109=0),J109,"")</f>
        <v/>
      </c>
      <c r="AF109" s="87" t="str">
        <f>IF(AND(OR(E109=1,E109=0),G109=3,F109=0),J109,"")</f>
        <v/>
      </c>
      <c r="AG109" s="87" t="str">
        <f>IF(AND(OR(E109=1,E109=0),G109=1,F109=1),J109,"")</f>
        <v/>
      </c>
      <c r="AH109" s="87" t="str">
        <f>IF(AND(OR(E109=1,E109=0),G109=2,F109=1),J109,"")</f>
        <v/>
      </c>
      <c r="AI109" s="87" t="str">
        <f>IF(AND(OR(E109=1,E109=0),G109=3,F109=1),J109,"")</f>
        <v/>
      </c>
      <c r="AJ109" s="87" t="str">
        <f>IF(AND(OR(E109=2,E109=0),G109=1,F109=0),J109,"")</f>
        <v/>
      </c>
      <c r="AK109" s="87" t="str">
        <f>IF(AND(OR(E109=2,E109=0),G109=2,F109=0),J109,"")</f>
        <v/>
      </c>
      <c r="AL109" s="87">
        <f>IF(AND(OR(E109=2,E109=0),G109=3,F109=0),J109,"")</f>
        <v>245.99891</v>
      </c>
      <c r="AM109" s="87" t="str">
        <f>IF(AND(OR(E109=2,E109=0),G109=1,F109=1),J109,"")</f>
        <v/>
      </c>
      <c r="AN109" s="87" t="str">
        <f>IF(AND(OR(E109=2,E109=0),G109=2,F109=1),J109,"")</f>
        <v/>
      </c>
      <c r="AO109" s="87" t="str">
        <f>IF(AND(OR(E109=2,E109=0),G109=3,F109=1),J109,"")</f>
        <v/>
      </c>
      <c r="AP109" s="87" t="str">
        <f>IF(AND(OR(E109=3,E109=0),G109=1,F109=0),J109,"")</f>
        <v/>
      </c>
      <c r="AQ109" s="87" t="str">
        <f>IF(AND(OR(E109=3,E109=0),G109=2,F109=0),J109,"")</f>
        <v/>
      </c>
      <c r="AR109" s="87" t="str">
        <f>IF(AND(OR(E109=3,E109=0),G109=3,F109=0),J109,"")</f>
        <v/>
      </c>
      <c r="AS109" s="87" t="str">
        <f>IF(AND(OR(E109=3,E109=0),G109=1,F109=1),J109,"")</f>
        <v/>
      </c>
      <c r="AT109" s="87" t="str">
        <f>IF(AND(OR(E109=3,E109=0),G109=2,F109=1),J109,"")</f>
        <v/>
      </c>
      <c r="AU109" s="87" t="str">
        <f>IF(AND(OR(E109=3,E109=0),G109=3,F109=1),J109,"")</f>
        <v/>
      </c>
    </row>
    <row r="110" spans="1:47" ht="19" customHeight="1" x14ac:dyDescent="0.3">
      <c r="A110" s="88" t="s">
        <v>129</v>
      </c>
      <c r="B110" s="88"/>
      <c r="C110" s="88"/>
      <c r="D110" s="86">
        <f>持有情况!BF94-ROW()*0.00001</f>
        <v>122.99890000000001</v>
      </c>
      <c r="E110" s="86">
        <v>2</v>
      </c>
      <c r="F110" s="86">
        <v>1</v>
      </c>
      <c r="G110" s="86">
        <v>3</v>
      </c>
      <c r="H110" s="86">
        <v>0</v>
      </c>
      <c r="I110" s="86"/>
      <c r="J110" s="86">
        <f>INT(45+IF(路线!B36&gt;3,3,路线!B36)*16+13*路线!B21+30)-ROW()*0.00001</f>
        <v>122.99890000000001</v>
      </c>
      <c r="K110" s="86"/>
      <c r="L110" s="87" t="str">
        <f t="shared" si="54"/>
        <v/>
      </c>
      <c r="M110" s="87" t="str">
        <f t="shared" si="55"/>
        <v/>
      </c>
      <c r="N110" s="87" t="str">
        <f t="shared" si="56"/>
        <v/>
      </c>
      <c r="O110" s="87" t="str">
        <f t="shared" si="57"/>
        <v/>
      </c>
      <c r="P110" s="87" t="str">
        <f t="shared" si="58"/>
        <v/>
      </c>
      <c r="Q110" s="87" t="str">
        <f t="shared" si="59"/>
        <v/>
      </c>
      <c r="R110" s="87" t="str">
        <f t="shared" si="60"/>
        <v/>
      </c>
      <c r="S110" s="87">
        <f t="shared" si="61"/>
        <v>122.99890000000001</v>
      </c>
      <c r="T110" s="87" t="str">
        <f t="shared" si="62"/>
        <v/>
      </c>
      <c r="U110" s="87" t="str">
        <f>IF(AND(OR(E110=1,E110=0),G110=1,F110=1),D110,"")</f>
        <v/>
      </c>
      <c r="V110" s="87" t="str">
        <f>IF(AND(OR(E110=1,E110=0),G110=2,F110=1),D110,"")</f>
        <v/>
      </c>
      <c r="W110" s="87" t="str">
        <f>IF(AND(OR(E110=1,E110=0),G110=3,F110=1),D110,"")</f>
        <v/>
      </c>
      <c r="X110" s="87" t="str">
        <f>IF(AND(OR(E110=2,E110=0),G110=1,F110=1),D110,"")</f>
        <v/>
      </c>
      <c r="Y110" s="87" t="str">
        <f>IF(AND(OR(E110=2,E110=0),G110=2,F110=1),D110,"")</f>
        <v/>
      </c>
      <c r="Z110" s="87">
        <f>IF(AND(OR(E110=2,E110=0),G110=3,F110=1),D110,"")</f>
        <v>122.99890000000001</v>
      </c>
      <c r="AA110" s="87" t="str">
        <f>IF(AND(OR(E110=3,E110=0),G110=1,F110=1),D110,"")</f>
        <v/>
      </c>
      <c r="AB110" s="87" t="str">
        <f>IF(AND(OR(E110=3,E110=0),G110=2,F110=1),D110,"")</f>
        <v/>
      </c>
      <c r="AC110" s="87" t="str">
        <f>IF(AND(OR(E110=3,E110=0),G110=3,F110=1),D110,"")</f>
        <v/>
      </c>
      <c r="AD110" s="87" t="str">
        <f>IF(AND(OR(E110=1,E110=0),G110=1,F110=0),J110,"")</f>
        <v/>
      </c>
      <c r="AE110" s="87" t="str">
        <f>IF(AND(OR(E110=1,E110=0),G110=2,F110=0),J110,"")</f>
        <v/>
      </c>
      <c r="AF110" s="87" t="str">
        <f>IF(AND(OR(E110=1,E110=0),G110=3,F110=0),J110,"")</f>
        <v/>
      </c>
      <c r="AG110" s="87" t="str">
        <f>IF(AND(OR(E110=1,E110=0),G110=1,F110=1),J110,"")</f>
        <v/>
      </c>
      <c r="AH110" s="87" t="str">
        <f>IF(AND(OR(E110=1,E110=0),G110=2,F110=1),J110,"")</f>
        <v/>
      </c>
      <c r="AI110" s="87" t="str">
        <f>IF(AND(OR(E110=1,E110=0),G110=3,F110=1),J110,"")</f>
        <v/>
      </c>
      <c r="AJ110" s="87" t="str">
        <f>IF(AND(OR(E110=2,E110=0),G110=1,F110=0),J110,"")</f>
        <v/>
      </c>
      <c r="AK110" s="87" t="str">
        <f>IF(AND(OR(E110=2,E110=0),G110=2,F110=0),J110,"")</f>
        <v/>
      </c>
      <c r="AL110" s="87" t="str">
        <f>IF(AND(OR(E110=2,E110=0),G110=3,F110=0),J110,"")</f>
        <v/>
      </c>
      <c r="AM110" s="87" t="str">
        <f>IF(AND(OR(E110=2,E110=0),G110=1,F110=1),J110,"")</f>
        <v/>
      </c>
      <c r="AN110" s="87" t="str">
        <f>IF(AND(OR(E110=2,E110=0),G110=2,F110=1),J110,"")</f>
        <v/>
      </c>
      <c r="AO110" s="87">
        <f>IF(AND(OR(E110=2,E110=0),G110=3,F110=1),J110,"")</f>
        <v>122.99890000000001</v>
      </c>
      <c r="AP110" s="87" t="str">
        <f>IF(AND(OR(E110=3,E110=0),G110=1,F110=0),J110,"")</f>
        <v/>
      </c>
      <c r="AQ110" s="87" t="str">
        <f>IF(AND(OR(E110=3,E110=0),G110=2,F110=0),J110,"")</f>
        <v/>
      </c>
      <c r="AR110" s="87" t="str">
        <f>IF(AND(OR(E110=3,E110=0),G110=3,F110=0),J110,"")</f>
        <v/>
      </c>
      <c r="AS110" s="87" t="str">
        <f>IF(AND(OR(E110=3,E110=0),G110=1,F110=1),J110,"")</f>
        <v/>
      </c>
      <c r="AT110" s="87" t="str">
        <f>IF(AND(OR(E110=3,E110=0),G110=2,F110=1),J110,"")</f>
        <v/>
      </c>
      <c r="AU110" s="87" t="str">
        <f>IF(AND(OR(E110=3,E110=0),G110=3,F110=1),J110,"")</f>
        <v/>
      </c>
    </row>
    <row r="111" spans="1:47" ht="19" customHeight="1" x14ac:dyDescent="0.3"/>
    <row r="112" spans="1:47" ht="19" customHeight="1" x14ac:dyDescent="0.3"/>
    <row r="113" spans="1:15" ht="19" customHeight="1" x14ac:dyDescent="0.3">
      <c r="A113" s="90"/>
      <c r="B113" s="84"/>
      <c r="C113" s="84"/>
      <c r="M113" s="84"/>
      <c r="N113" s="1"/>
      <c r="O113" s="1"/>
    </row>
    <row r="114" spans="1:15" ht="19" customHeight="1" x14ac:dyDescent="0.3">
      <c r="A114" s="89"/>
      <c r="B114" s="90"/>
      <c r="C114" s="89"/>
      <c r="M114" s="89"/>
      <c r="N114" s="89"/>
      <c r="O114" s="89"/>
    </row>
    <row r="115" spans="1:15" ht="19" customHeight="1" x14ac:dyDescent="0.3">
      <c r="A115" s="89"/>
      <c r="B115" s="89"/>
      <c r="C115" s="89"/>
      <c r="M115" s="89"/>
      <c r="N115" s="89"/>
      <c r="O115" s="89"/>
    </row>
    <row r="116" spans="1:15" ht="19" customHeight="1" x14ac:dyDescent="0.3">
      <c r="A116" s="89"/>
      <c r="B116" s="89"/>
      <c r="C116" s="89"/>
      <c r="M116" s="89"/>
      <c r="N116" s="89"/>
      <c r="O116" s="89"/>
    </row>
    <row r="117" spans="1:15" ht="19" customHeight="1" x14ac:dyDescent="0.3"/>
    <row r="118" spans="1:15" ht="19" customHeight="1" x14ac:dyDescent="0.3"/>
    <row r="119" spans="1:15" ht="19" customHeight="1" x14ac:dyDescent="0.3">
      <c r="E119" s="84"/>
    </row>
    <row r="120" spans="1:15" ht="19" customHeight="1" x14ac:dyDescent="0.3">
      <c r="E120" s="84"/>
    </row>
    <row r="121" spans="1:15" ht="19" customHeight="1" x14ac:dyDescent="0.3">
      <c r="E121" s="84"/>
    </row>
    <row r="122" spans="1:15" ht="19" customHeight="1" x14ac:dyDescent="0.3">
      <c r="E122" s="84"/>
    </row>
  </sheetData>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18AB1-5C4F-461E-8CF0-16A133F8C100}">
  <sheetPr>
    <tabColor rgb="FFFFFFFF"/>
    <outlinePr summaryBelow="0" summaryRight="0"/>
  </sheetPr>
  <dimension ref="A1:U30"/>
  <sheetViews>
    <sheetView workbookViewId="0"/>
  </sheetViews>
  <sheetFormatPr defaultColWidth="14" defaultRowHeight="13" x14ac:dyDescent="0.3"/>
  <cols>
    <col min="1" max="21" width="14" customWidth="1"/>
  </cols>
  <sheetData>
    <row r="1" spans="1:21" ht="19" customHeight="1" x14ac:dyDescent="0.3">
      <c r="A1" s="84" t="s">
        <v>9</v>
      </c>
      <c r="B1" s="1"/>
      <c r="C1" s="1"/>
      <c r="D1" s="1"/>
      <c r="E1" s="1"/>
      <c r="F1" s="1"/>
      <c r="G1" s="1"/>
      <c r="H1" s="84" t="s">
        <v>37</v>
      </c>
      <c r="I1" s="1"/>
      <c r="J1" s="1"/>
      <c r="K1" s="1"/>
      <c r="L1" s="1"/>
      <c r="M1" s="84" t="s">
        <v>342</v>
      </c>
      <c r="N1" s="1"/>
      <c r="O1" s="1"/>
      <c r="P1" s="1"/>
      <c r="Q1" s="1"/>
      <c r="R1" s="84" t="s">
        <v>37</v>
      </c>
      <c r="S1" s="1"/>
      <c r="T1" s="1"/>
      <c r="U1" s="1"/>
    </row>
    <row r="2" spans="1:21" ht="19" customHeight="1" x14ac:dyDescent="0.3">
      <c r="A2" s="84" t="s">
        <v>343</v>
      </c>
      <c r="B2" s="84">
        <f>IF(路线!B3="感性",LARGE(第一属性比较!L2:L999,1),IF(路线!B3="理性",LARGE(第一属性比较!M2:M999,1),LARGE(第一属性比较!N2:N999,1)))</f>
        <v>248.99993000000001</v>
      </c>
      <c r="C2" s="84">
        <f>IF(路线!B3="感性",LARGE(第一属性比较!L2:L999,2),IF(路线!B3="理性",LARGE(第一属性比较!M2:M999,2),LARGE(第一属性比较!N2:N999,2)))</f>
        <v>235.99997999999999</v>
      </c>
      <c r="D2" s="84">
        <f>IF(路线!B3="感性",LARGE(第一属性比较!L2:L999,3),IF(路线!B3="理性",LARGE(第一属性比较!M2:M999,3),LARGE(第一属性比较!N2:N999,3)))</f>
        <v>221.99985000000001</v>
      </c>
      <c r="E2" s="84">
        <f>IF(路线!B3="感性",LARGE(第一属性比较!L2:L999,4),IF(路线!B3="理性",LARGE(第一属性比较!M2:M999,4),LARGE(第一属性比较!N2:N999,4)))</f>
        <v>217.99957000000001</v>
      </c>
      <c r="F2" s="84">
        <f>IF(路线!B3="感性",LARGE(第一属性比较!L2:L999,5),IF(路线!B3="理性",LARGE(第一属性比较!M2:M999,5),LARGE(第一属性比较!N2:N999,5)))</f>
        <v>211.99955</v>
      </c>
      <c r="G2" s="1"/>
      <c r="H2" s="84">
        <f>IF(路线!B3="感性",LARGE(第一属性比较!U2:U999,1),IF(路线!B3="理性",LARGE(第一属性比较!X2:X999,1),LARGE(第一属性比较!AA2:AA999,1)))</f>
        <v>217.99957000000001</v>
      </c>
      <c r="I2" s="84">
        <f>IF(路线!B3="感性",LARGE(第一属性比较!U2:U999,2),IF(路线!B3="理性",LARGE(第一属性比较!X2:X999,2),LARGE(第一属性比较!AA2:AA999,2)))</f>
        <v>155.99939000000001</v>
      </c>
      <c r="J2" s="84">
        <f>IF(路线!B3="感性",LARGE(第一属性比较!U2:U999,3),IF(路线!B3="理性",LARGE(第一属性比较!X2:X999,3),LARGE(第一属性比较!AA2:AA999,3)))</f>
        <v>139.99930000000001</v>
      </c>
      <c r="K2" s="1"/>
      <c r="L2" s="1"/>
      <c r="M2" s="84">
        <f>IF(路线!B3="感性",LARGE(第一属性比较!AD2:AD999,1),IF(路线!B3="理性",LARGE(第一属性比较!AJ2:AJ999,1),LARGE(第一属性比较!AP2:AP999,1)))</f>
        <v>248.99993000000001</v>
      </c>
      <c r="N2" s="84">
        <f>IF(路线!B3="感性",LARGE(第一属性比较!AD2:AD999,2),IF(路线!B3="理性",LARGE(第一属性比较!AJ2:AJ999,2),LARGE(第一属性比较!AP2:AP999,2)))</f>
        <v>235.99997999999999</v>
      </c>
      <c r="O2" s="84">
        <f>IF(路线!B3="感性",LARGE(第一属性比较!AD2:AD999,3),IF(路线!B3="理性",LARGE(第一属性比较!AJ2:AJ999,3),LARGE(第一属性比较!AP2:AP999,3)))</f>
        <v>221.99985000000001</v>
      </c>
      <c r="P2" s="84">
        <f>IF(路线!B3="感性",LARGE(第一属性比较!AD2:AD999,4),IF(路线!B3="理性",LARGE(第一属性比较!AJ2:AJ999,4),LARGE(第一属性比较!AP2:AP999,4)))</f>
        <v>211.99955</v>
      </c>
      <c r="Q2" s="1"/>
      <c r="R2" s="84">
        <f>IF(路线!B3="感性",LARGE(第一属性比较!AG2:AG999,1),IF(路线!B3="理性",LARGE(第一属性比较!AM2:AM999,1),LARGE(第一属性比较!AS2:AS999,1)))</f>
        <v>217.99957000000001</v>
      </c>
      <c r="S2" s="84">
        <f>IF(路线!B3="感性",LARGE(第一属性比较!AG2:AG999,2),IF(路线!B3="理性",LARGE(第一属性比较!AM2:AM999,2),LARGE(第一属性比较!AS2:AS999,2)))</f>
        <v>155.99939000000001</v>
      </c>
      <c r="T2" s="84">
        <f>IF(路线!B3="感性",LARGE(第一属性比较!AG2:AG999,3),IF(路线!B3="理性",LARGE(第一属性比较!AM2:AM999,3),LARGE(第一属性比较!AS2:AS999,3)))</f>
        <v>139.99930000000001</v>
      </c>
      <c r="U2" s="84">
        <f>IF(路线!B3="感性",LARGE(第一属性比较!AG2:AG999,4),IF(路线!B3="理性",LARGE(第一属性比较!AM2:AM999,4),LARGE(第一属性比较!AS2:AS999,4)))</f>
        <v>131.99909</v>
      </c>
    </row>
    <row r="3" spans="1:21" ht="19" customHeight="1" x14ac:dyDescent="0.3">
      <c r="A3" s="84" t="s">
        <v>162</v>
      </c>
      <c r="B3" s="84">
        <f>IF(路线!B3="感性",LARGE(第一属性比较!O2:O999,1),IF(路线!B3="理性",LARGE(第一属性比较!P2:P999,1),LARGE(第一属性比较!Q2:Q999,1)))</f>
        <v>253.99994000000001</v>
      </c>
      <c r="C3" s="84">
        <f>IF(路线!B3="感性",LARGE(第一属性比较!O2:O999,2),IF(路线!B3="理性",LARGE(第一属性比较!P2:P999,2),LARGE(第一属性比较!Q2:Q999,2)))</f>
        <v>251.99941000000001</v>
      </c>
      <c r="D3" s="84">
        <f>IF(路线!B3="感性",LARGE(第一属性比较!O2:O999,3),IF(路线!B3="理性",LARGE(第一属性比较!P2:P999,3),LARGE(第一属性比较!Q2:Q999,3)))</f>
        <v>250.99996999999999</v>
      </c>
      <c r="E3" s="84">
        <f>IF(路线!B3="感性",LARGE(第一属性比较!O2:O999,4),IF(路线!B3="理性",LARGE(第一属性比较!P2:P999,4),LARGE(第一属性比较!Q2:Q999,4)))</f>
        <v>238.99947</v>
      </c>
      <c r="F3" s="84">
        <f>IF(路线!B3="感性",LARGE(第一属性比较!O2:O999,5),IF(路线!B3="理性",LARGE(第一属性比较!P2:P999,5),LARGE(第一属性比较!Q2:Q999,5)))</f>
        <v>232.99988999999999</v>
      </c>
      <c r="G3" s="1"/>
      <c r="H3" s="84">
        <f>IF(路线!B3="感性",LARGE(第一属性比较!V2:V999,1),IF(路线!B3="理性",LARGE(第一属性比较!Y2:Y999,1),LARGE(第一属性比较!AB2:AB999,1)))</f>
        <v>238.99947</v>
      </c>
      <c r="I3" s="84">
        <f>IF(路线!B3="感性",LARGE(第一属性比较!V2:V999,2),IF(路线!B3="理性",LARGE(第一属性比较!Y2:Y999,2),LARGE(第一属性比较!AB2:AB999,2)))</f>
        <v>203.99970999999999</v>
      </c>
      <c r="J3" s="84">
        <f>IF(路线!B3="感性",LARGE(第一属性比较!V2:V999,3),IF(路线!B3="理性",LARGE(第一属性比较!Y2:Y999,3),LARGE(第一属性比较!AB2:AB999,3)))</f>
        <v>203.99966000000001</v>
      </c>
      <c r="K3" s="1"/>
      <c r="L3" s="1"/>
      <c r="M3" s="84">
        <f>IF(路线!B3="感性",LARGE(第一属性比较!AE2:AE999,1),IF(路线!B3="理性",LARGE(第一属性比较!AK2:AK999,1),LARGE(第一属性比较!AQ2:AQ999,1)))</f>
        <v>253.99994000000001</v>
      </c>
      <c r="N3" s="84">
        <f>IF(路线!B3="感性",LARGE(第一属性比较!AE2:AE999,2),IF(路线!B3="理性",LARGE(第一属性比较!AK2:AK999,2),LARGE(第一属性比较!AQ2:AQ999,2)))</f>
        <v>251.99941000000001</v>
      </c>
      <c r="O3" s="84">
        <f>IF(路线!B3="感性",LARGE(第一属性比较!AE2:AE999,3),IF(路线!B3="理性",LARGE(第一属性比较!AK2:AK999,3),LARGE(第一属性比较!AQ2:AQ999,3)))</f>
        <v>250.99996999999999</v>
      </c>
      <c r="P3" s="84">
        <f>IF(路线!B3="感性",LARGE(第一属性比较!AE2:AE999,4),IF(路线!B3="理性",LARGE(第一属性比较!AK2:AK999,4),LARGE(第一属性比较!AQ2:AQ999,4)))</f>
        <v>232.99988999999999</v>
      </c>
      <c r="Q3" s="1"/>
      <c r="R3" s="84">
        <f>IF(路线!B3="感性",LARGE(第一属性比较!AH2:AH999,1),IF(路线!B3="理性",LARGE(第一属性比较!AN2:AN999,1),LARGE(第一属性比较!AT2:AT999,1)))</f>
        <v>238.99947</v>
      </c>
      <c r="S3" s="84">
        <f>IF(路线!B3="感性",LARGE(第一属性比较!AH2:AH999,2),IF(路线!B3="理性",LARGE(第一属性比较!AN2:AN999,2),LARGE(第一属性比较!AT2:AT999,2)))</f>
        <v>203.99970999999999</v>
      </c>
      <c r="T3" s="84">
        <f>IF(路线!B3="感性",LARGE(第一属性比较!AH2:AH999,3),IF(路线!B3="理性",LARGE(第一属性比较!AN2:AN999,3),LARGE(第一属性比较!AT2:AT999,3)))</f>
        <v>203.99966000000001</v>
      </c>
      <c r="U3" s="84">
        <f>IF(路线!B3="感性",LARGE(第一属性比较!AH2:AH999,4),IF(路线!B3="理性",LARGE(第一属性比较!AN2:AN999,4),LARGE(第一属性比较!AT2:AT999,4)))</f>
        <v>203.99960999999999</v>
      </c>
    </row>
    <row r="4" spans="1:21" ht="19" customHeight="1" x14ac:dyDescent="0.3">
      <c r="A4" s="84" t="s">
        <v>154</v>
      </c>
      <c r="B4" s="84">
        <f>IF(路线!B3="感性",LARGE(第一属性比较!R2:R999,1),IF(路线!B3="理性",LARGE(第一属性比较!S2:S999,1),LARGE(第一属性比较!T2:T999,1)))</f>
        <v>300.99891000000002</v>
      </c>
      <c r="C4" s="84">
        <f>IF(路线!B3="感性",LARGE(第一属性比较!R2:R999,2),IF(路线!B3="理性",LARGE(第一属性比较!S2:S999,2),LARGE(第一属性比较!T2:T999,2)))</f>
        <v>268.99991999999997</v>
      </c>
      <c r="D4" s="84">
        <f>IF(路线!B3="感性",LARGE(第一属性比较!R2:R999,3),IF(路线!B3="理性",LARGE(第一属性比较!S2:S999,3),LARGE(第一属性比较!T2:T999,3)))</f>
        <v>230.99959999999999</v>
      </c>
      <c r="E4" s="84">
        <f>IF(路线!B3="感性",LARGE(第一属性比较!R2:R999,4),IF(路线!B3="理性",LARGE(第一属性比较!S2:S999,4),LARGE(第一属性比较!T2:T999,4)))</f>
        <v>228.99981</v>
      </c>
      <c r="F4" s="84">
        <f>IF(路线!B3="感性",LARGE(第一属性比较!R2:R999,5),IF(路线!B3="理性",LARGE(第一属性比较!S2:S999,5),LARGE(第一属性比较!T2:T999,5)))</f>
        <v>209.99951999999999</v>
      </c>
      <c r="G4" s="1"/>
      <c r="H4" s="84">
        <f>IF(路线!B3="感性",LARGE(第一属性比较!W2:W999,1),IF(路线!B3="理性",LARGE(第一属性比较!Z2:Z999,1),LARGE(第一属性比较!AC2:AC999,1)))</f>
        <v>228.99981</v>
      </c>
      <c r="I4" s="84">
        <f>IF(路线!B3="感性",LARGE(第一属性比较!W2:W999,2),IF(路线!B3="理性",LARGE(第一属性比较!Z2:Z999,2),LARGE(第一属性比较!AC2:AC999,2)))</f>
        <v>203.99969999999999</v>
      </c>
      <c r="J4" s="84">
        <f>IF(路线!B3="感性",LARGE(第一属性比较!W2:W999,3),IF(路线!B3="理性",LARGE(第一属性比较!Z2:Z999,3),LARGE(第一属性比较!AC2:AC999,3)))</f>
        <v>179.99931000000001</v>
      </c>
      <c r="K4" s="1"/>
      <c r="L4" s="1"/>
      <c r="M4" s="84">
        <f>IF(路线!B3="感性",LARGE(第一属性比较!AF2:AF999,1),IF(路线!B3="理性",LARGE(第一属性比较!AL2:AL999,1),LARGE(第一属性比较!AR2:AR999,1)))</f>
        <v>300.99891000000002</v>
      </c>
      <c r="N4" s="84">
        <f>IF(路线!B3="感性",LARGE(第一属性比较!AF2:AF999,2),IF(路线!B3="理性",LARGE(第一属性比较!AL2:AL999,2),LARGE(第一属性比较!AR2:AR999,2)))</f>
        <v>268.99991999999997</v>
      </c>
      <c r="O4" s="84">
        <f>IF(路线!B3="感性",LARGE(第一属性比较!AF2:AF999,3),IF(路线!B3="理性",LARGE(第一属性比较!AL2:AL999,3),LARGE(第一属性比较!AR2:AR999,3)))</f>
        <v>230.99959999999999</v>
      </c>
      <c r="P4" s="84">
        <f>IF(路线!B3="感性",LARGE(第一属性比较!AF2:AF999,4),IF(路线!B3="理性",LARGE(第一属性比较!AL2:AL999,4),LARGE(第一属性比较!AR2:AR999,4)))</f>
        <v>209.99951999999999</v>
      </c>
      <c r="Q4" s="1"/>
      <c r="R4" s="84">
        <f>IF(路线!B3="感性",LARGE(第一属性比较!AI2:AI999,1),IF(路线!B3="理性",LARGE(第一属性比较!AO2:AO999,1),LARGE(第一属性比较!AU2:AU999,1)))</f>
        <v>228.99981</v>
      </c>
      <c r="S4" s="84">
        <f>IF(路线!B3="感性",LARGE(第一属性比较!AI2:AI999,2),IF(路线!B3="理性",LARGE(第一属性比较!AO2:AO999,2),LARGE(第一属性比较!AU2:AU999,2)))</f>
        <v>203.99969999999999</v>
      </c>
      <c r="T4" s="84">
        <f>IF(路线!B3="感性",LARGE(第一属性比较!AI2:AI999,3),IF(路线!B3="理性",LARGE(第一属性比较!AO2:AO999,3),LARGE(第一属性比较!AU2:AU999,3)))</f>
        <v>179.99931000000001</v>
      </c>
      <c r="U4" s="84">
        <f>IF(路线!B3="感性",LARGE(第一属性比较!AI2:AI999,4),IF(路线!B3="理性",LARGE(第一属性比较!AO2:AO999,4),LARGE(第一属性比较!AU2:AU999,4)))</f>
        <v>179.99921000000001</v>
      </c>
    </row>
    <row r="5" spans="1:21" ht="19" customHeight="1" x14ac:dyDescent="0.3">
      <c r="A5" s="1"/>
      <c r="B5" s="1"/>
      <c r="C5" s="1"/>
      <c r="D5" s="1"/>
      <c r="E5" s="1"/>
      <c r="F5" s="1"/>
      <c r="G5" s="1"/>
      <c r="H5" s="1"/>
      <c r="I5" s="1"/>
      <c r="J5" s="1"/>
      <c r="K5" s="1"/>
      <c r="L5" s="1"/>
      <c r="M5" s="1"/>
      <c r="N5" s="1"/>
      <c r="O5" s="1"/>
      <c r="P5" s="1"/>
      <c r="Q5" s="1"/>
      <c r="R5" s="1"/>
      <c r="S5" s="1"/>
      <c r="T5" s="1"/>
      <c r="U5" s="1"/>
    </row>
    <row r="6" spans="1:21" ht="19" customHeight="1" x14ac:dyDescent="0.3">
      <c r="A6" s="84" t="str">
        <f>IF(路线!B3="感性",INDEX(第一属性比较!A2:A999,IF(路线!B1="红",IF(路线!C2&gt;=1,MATCH(H2,第一属性比较!U2:U999,0),MATCH(B2,第一属性比较!L2:L999,0)),IF(路线!B1="蓝",IF(路线!C3&gt;=1,MATCH(H3,第一属性比较!V2:V999,0),MATCH(B3,第一属性比较!O2:O999,0)),IF(路线!C4&gt;=1,MATCH(H4,第一属性比较!W2:W999,0),MATCH(B4,第一属性比较!R2:R999,0))))),IF(路线!B3="理性",INDEX(第一属性比较!A2:A999,IF(路线!B1="红",IF(路线!C2&gt;=1,MATCH(H2,第一属性比较!X2:X999,0),MATCH(B2,第一属性比较!M2:M999,0)),IF(路线!B1="蓝",IF(路线!C3&gt;=1,MATCH(H3,第一属性比较!Y2:Y999,0),MATCH(B3,第一属性比较!P2:P999,0)),IF(路线!C4&gt;=1,MATCH(H4,第一属性比较!Z2:Z999,0),MATCH(B4,第一属性比较!S2:S999,0))))),INDEX(第一属性比较!A2:A999,IF(路线!B1="红",IF(路线!C2&gt;=1,MATCH(H2,第一属性比较!AA2:AA999,0),MATCH(B2,第一属性比较!N2:N999,0)),IF(路线!B1="蓝",IF(路线!C3&gt;=1,MATCH(H3,第一属性比较!AB2:AB999,0),MATCH(B3,第一属性比较!Q2:Q999,0)),IF(路线!C4&gt;=1,MATCH(H4,第一属性比较!AC2:AC999,0),MATCH(B4,第一属性比较!T2:T999,0)))))))</f>
        <v>新たな挑戦の成功ですわ！（黄书签）</v>
      </c>
      <c r="B6" s="1"/>
      <c r="C6" s="1"/>
      <c r="D6" s="1"/>
      <c r="E6" s="1"/>
      <c r="F6" s="1"/>
      <c r="G6" s="1"/>
      <c r="H6" s="1"/>
      <c r="I6" s="1"/>
      <c r="J6" s="1"/>
      <c r="K6" s="1"/>
      <c r="L6" s="1"/>
      <c r="M6" s="84" t="s">
        <v>344</v>
      </c>
      <c r="N6" s="1"/>
      <c r="O6" s="1"/>
      <c r="P6" s="84" t="s">
        <v>345</v>
      </c>
      <c r="Q6" s="1"/>
      <c r="R6" s="1"/>
      <c r="S6" s="1"/>
      <c r="T6" s="1"/>
      <c r="U6" s="1"/>
    </row>
    <row r="7" spans="1:21" ht="19" customHeight="1" x14ac:dyDescent="0.3">
      <c r="A7" s="84" t="str">
        <f>IF(路线!B3="感性",INDEX(第一属性比较!A2:A999,IF(路线!B1="红",IF(路线!C2&gt;=2,MATCH(I2,第一属性比较!U2:U999,0),IF(路线!C2=1,MATCH(B2,第一属性比较!L2:L999,0),MATCH(C2,第一属性比较!L2:L999,0))),IF(路线!B1="蓝",IF(路线!C3&gt;=2,MATCH(I3,第一属性比较!V2:V999,0),IF(路线!C3=1,MATCH(B3,第一属性比较!O2:O999,0),MATCH(C3,第一属性比较!O2:O999,0))),IF(路线!C4&gt;=2,MATCH(I4,第一属性比较!W2:W999,0),IF(路线!C4=1,MATCH(B4,第一属性比较!R2:R999,0),MATCH(C4,第一属性比较!R2:R999,0)))))),IF(路线!B3="理性",INDEX(第一属性比较!A2:A999,IF(路线!B1="红",IF(路线!C2&gt;=2,MATCH(I2,第一属性比较!X2:X999,0),IF(路线!C2=1,MATCH(B2,第一属性比较!M2:M999,0),MATCH(C2,第一属性比较!M2:M999,0))),IF(路线!B1="蓝",IF(路线!C3&gt;=2,MATCH(I3,第一属性比较!Y2:Y999,0),IF(路线!C3=1,MATCH(B3,第一属性比较!P2:P999,0),MATCH(C3,第一属性比较!P2:P999,0))),IF(路线!C4&gt;=2,MATCH(I4,第一属性比较!Z2:Z999,0),IF(路线!C4=1,MATCH(B4,第一属性比较!S2:S999,0),MATCH(C4,第一属性比较!S2:S999,0)))))),INDEX(第一属性比较!A2:A999,IF(路线!B1="红",IF(路线!C2&gt;=2,MATCH(I2,第一属性比较!AA2:AA999,0),IF(路线!C2=1,MATCH(B2,第一属性比较!N2:N999,0),MATCH(C2,第一属性比较!N2:N999,0))),IF(路线!B1="蓝",IF(路线!C3&gt;=2,MATCH(I3,第一属性比较!AB2:AB999,0),IF(路线!C3=1,MATCH(B3,第一属性比较!Q2:Q999,0),MATCH(C3,第一属性比较!Q2:Q999,0))),IF(路线!C4&gt;=2,MATCH(I4,第一属性比较!AC2:AC999,0),IF(路线!C4=1,MATCH(B4,第一属性比较!T2:T999,0),MATCH(C4,第一属性比较!T2:T999,0))))))))</f>
        <v>推し活なひととき、だね！（猫头鹰）</v>
      </c>
      <c r="B7" s="1"/>
      <c r="C7" s="1"/>
      <c r="D7" s="84" t="str">
        <f>IF(A7=A6,IF(路线!B3="感性",INDEX(第一属性比较!A2:A999,IF(路线!B1="红",IF(路线!C2&gt;=2,MATCH(I2,第一属性比较!U2:U999,0),IF(路线!C2=1,MATCH(C2,第一属性比较!L2:L999,0),MATCH(D2,第一属性比较!L2:L999,0))),IF(路线!B1="蓝",IF(路线!C3&gt;=2,MATCH(I3,第一属性比较!V2:V999,0),IF(路线!C3=1,MATCH(C3,第一属性比较!O2:O999,0),MATCH(D3,第一属性比较!O2:O999,0))),IF(路线!C4&gt;=2,MATCH(I4,第一属性比较!W2:W999,0),IF(路线!C4=1,MATCH(C4,第一属性比较!R2:R999,0),MATCH(D4,第一属性比较!R2:R999,0)))))),IF(路线!B3="理性",INDEX(第一属性比较!A2:A999,IF(路线!B1="红",IF(路线!C2&gt;=2,MATCH(I2,第一属性比较!X2:X999,0),IF(路线!C2=1,MATCH(C2,第一属性比较!M2:M999,0),MATCH(D2,第一属性比较!M2:M999,0))),IF(路线!B1="蓝",IF(路线!C3&gt;=2,MATCH(I3,第一属性比较!Y2:Y999,0),IF(路线!C3=1,MATCH(C3,第一属性比较!P2:P999,0),MATCH(D3,第一属性比较!P2:P999,0))),IF(路线!C4&gt;=2,MATCH(I4,第一属性比较!Z2:Z999,0),IF(路线!C4=1,MATCH(C4,第一属性比较!S2:S999,0),MATCH(D4,第一属性比较!T2:T999,0)))))),INDEX(第一属性比较!A2:A999,IF(路线!B1="红",IF(路线!C2&gt;=2,MATCH(I2,第一属性比较!AA2:AA999,0),IF(路线!C2=1,MATCH(C2,第一属性比较!N2:N999,0),MATCH(D2,第一属性比较!N2:N999,0))),IF(路线!B1="蓝",IF(路线!C3&gt;=2,MATCH(I3,第一属性比较!AB2:AB999,0),IF(路线!C3=1,MATCH(C3,第一属性比较!Q2:Q999,0),MATCH(D3,第一属性比较!Q2:Q999,0))),IF(路线!C4&gt;=2,MATCH(I4,第一属性比较!AC2:AC999,0),IF(路线!C4=1,MATCH(C4,第一属性比较!T2:T999,0),MATCH(D4,第一属性比较!T2:T999,0)))))))),A7)</f>
        <v>推し活なひととき、だね！（猫头鹰）</v>
      </c>
      <c r="E7" s="1"/>
      <c r="F7" s="1"/>
      <c r="G7" s="1"/>
      <c r="H7" s="1"/>
      <c r="I7" s="1"/>
      <c r="J7" s="1"/>
      <c r="K7" s="1"/>
      <c r="L7" s="1"/>
      <c r="M7" s="97" t="str">
        <f>IF(路线!B1="红",IF(路线!C2=0,P7,INDEX(第一属性比较!A2:A999,IF(路线!B3="感性",MATCH(R2,第一属性比较!AG2:AG999,0),IF(路线!B3="理性",MATCH(R2,第一属性比较!AM2:AM999,0),MATCH(R2,第一属性比较!AS2:AS999,0))))),IF(路线!B1="蓝",IF(路线!C3=0,P7,INDEX(第一属性比较!A2:A999,IF(路线!B3="感性",MATCH(R3,第一属性比较!AH2:AH999,0),IF(路线!B3="理性",MATCH(R3,第一属性比较!AN2:AN999,0),MATCH(R3,第一属性比较!AT2:AT999,0))))),IF(路线!C4=0,P7,INDEX(第一属性比较!A2:A999,IF(路线!B3="感性",MATCH(R4,第一属性比较!AI2:AI999,0),IF(路线!B3="理性",MATCH(R4,第一属性比较!AO2:AO999,0),MATCH(R4,第一属性比较!AU2:AU999,0)))))))</f>
        <v>新たな挑戦の成功ですわ！（黄书签）</v>
      </c>
      <c r="N7" s="3"/>
      <c r="O7" s="3"/>
      <c r="P7" s="87" t="str">
        <f>IF(路线!B3="感性",INDEX(第一属性比较!A2:A999,IF(路线!B1="红",MATCH(M2,第一属性比较!AD2:AD999,0),IF(路线!B1="蓝",MATCH(M3,第一属性比较!AE2:AE999,0),MATCH(M4,第一属性比较!AF2:AF999,0)))),IF(路线!B3="理性",INDEX(第一属性比较!A2:A999,IF(路线!B1="红",MATCH(M2,第一属性比较!AJ2:AJ999,0),IF(路线!B1="蓝",MATCH(M3,第一属性比较!AK2:AK999,0),MATCH(M4,第一属性比较!AL2:AL999,0)))),INDEX(第一属性比较!A2:A999,IF(路线!B1="红",MATCH(M2,第一属性比较!AP2:AP999,0),IF(路线!B1="蓝",MATCH(M3,第一属性比较!AQ2:AQ999,0),MATCH(M4,第一属性比较!AR2:AR999,0))))))</f>
        <v>推し活なひととき、だね！（猫头鹰）</v>
      </c>
      <c r="Q7" s="1"/>
      <c r="R7" s="1"/>
      <c r="S7" s="1"/>
      <c r="T7" s="1"/>
      <c r="U7" s="1"/>
    </row>
    <row r="8" spans="1:21" ht="19" customHeight="1" x14ac:dyDescent="0.3">
      <c r="A8" s="84" t="str">
        <f>IF(路线!B3="感性",INDEX(第一属性比较!A2:A999,IF(路线!B1="红",IF(路线!C2=3,MATCH(J2,第一属性比较!U2:U999,0),IF(路线!C2=2,MATCH(B2,第一属性比较!L2:L999,0),IF(路线!C2=1,MATCH(C2,第一属性比较!L2:L999,0),MATCH(D2,第一属性比较!L2:L999,0)))),IF(路线!B1="蓝",IF(路线!C3=3,MATCH(J3,第一属性比较!V2:V999,0),IF(路线!C3=2,MATCH(B3,第一属性比较!O2:O999,0),IF(路线!C3=1,MATCH(C3,第一属性比较!O2:O999,0),MATCH(D3,第一属性比较!O2:O999,0)))),IF(路线!C4=3,MATCH(J4,第一属性比较!W2:W999,0),IF(路线!C4=2,MATCH(B4,第一属性比较!R2:R999,0),IF(路线!C4=1,MATCH(C4,第一属性比较!R2:R999,0),MATCH(D4,第一属性比较!R2:R999,0))))))),IF(路线!B3="理性",INDEX(第一属性比较!A2:A999,IF(路线!B1="红",IF(路线!C2=3,MATCH(J2,第一属性比较!X2:X999,0),IF(路线!C2=2,MATCH(B2,第一属性比较!M2:M999,0),IF(路线!C2=1,MATCH(C2,第一属性比较!M2:M999,0),MATCH(D2,第一属性比较!M2:M999,0)))),IF(路线!B1="蓝",IF(路线!C3=3,MATCH(J3,第一属性比较!Y2:Y999,0),IF(路线!C3=2,MATCH(B3,第一属性比较!P2:P999,0),IF(路线!C3=1,MATCH(C3,第一属性比较!P2:P999,0),MATCH(D3,第一属性比较!P2:P999,0)))),IF(路线!C4=3,MATCH(J4,第一属性比较!Z2:Z999,0),IF(路线!C4=2,MATCH(B4,第一属性比较!S2:S999,0),IF(路线!C4=1,MATCH(C4,第一属性比较!S2:S999,0),MATCH(D4,第一属性比较!S2:S999,0))))))),INDEX(第一属性比较!A2:A999,IF(路线!B1="红",IF(路线!C2=3,MATCH(J2,第一属性比较!AA2:AA999,0),IF(路线!C2=2,MATCH(B2,第一属性比较!N2:N999,0),IF(路线!C2=1,MATCH(C2,第一属性比较!N2:N999,0),MATCH(D2,第一属性比较!N2:N999,0)))),IF(路线!B1="蓝",IF(路线!C3=3,MATCH(J3,第一属性比较!AB2:AB999,0),IF(路线!C3=2,MATCH(B3,第一属性比较!Q2:Q999,0),IF(路线!C3=1,MATCH(C3,第一属性比较!Q2:Q999,0),MATCH(D3,第一属性比较!Q2:Q999,0)))),IF(路线!C4=3,MATCH(J4,第一属性比较!AC2:AC999,0),IF(路线!C4=2,MATCH(B4,第一属性比较!T2:T999,0),IF(路线!C4=1,MATCH(C4,第一属性比较!T2:T999,0),MATCH(D4,第一属性比较!T2:T999,0)))))))))</f>
        <v>ぜったい追いついてやる！（红叶）</v>
      </c>
      <c r="B8" s="1"/>
      <c r="C8" s="1"/>
      <c r="D8" s="84" t="str">
        <f>IF(A8=D7,IF(路线!B3="感性",INDEX(第一属性比较!A2:A999,IF(路线!B1="红",IF(路线!C2=3,MATCH(J2,第一属性比较!U2:U999,0),IF(路线!C2=2,MATCH(C2,第一属性比较!L2:L999,0),IF(路线!C2=1,MATCH(D2,第一属性比较!L2:L999,0),MATCH(E2,第一属性比较!L2:L999,0)))),IF(路线!B1="蓝",IF(路线!C3=3,MATCH(J3,第一属性比较!V2:V999,0),IF(路线!C3=2,MATCH(C3,第一属性比较!O2:O999,0),IF(路线!C3=1,MATCH(D3,第一属性比较!O2:O999,0),MATCH(E3,第一属性比较!O2:O999,0)))),IF(路线!C4=3,MATCH(J4,第一属性比较!W2:W999,0),IF(路线!C4=2,MATCH(C4,第一属性比较!R2:R999,0),IF(路线!C4=1,MATCH(D4,第一属性比较!R2:R999,0),MATCH(E4,第一属性比较!R2:R999,0))))))),IF(路线!B3="理性",INDEX(第一属性比较!A2:A999,IF(路线!B1="红",IF(路线!C2=3,MATCH(J2,第一属性比较!X2:X999,0),IF(路线!C2=2,MATCH(C2,第一属性比较!M2:M999,0),IF(路线!C2=1,MATCH(D2,第一属性比较!M2:M999,0),MATCH(E2,第一属性比较!M2:M999,0)))),IF(路线!B1="蓝",IF(路线!C3=3,MATCH(J3,第一属性比较!Y2:Y999,0),IF(路线!C3=2,MATCH(C3,第一属性比较!P2:P999,0),IF(路线!C3=1,MATCH(D3,第一属性比较!P2:P999,0),MATCH(E3,第一属性比较!P2:P999,0)))),IF(路线!C4=3,MATCH(J4,第一属性比较!Z2:Z999,0),IF(路线!C4=2,MATCH(C4,第一属性比较!S2:S999,0),IF(路线!C4=1,MATCH(D4,第一属性比较!S2:S999,0),MATCH(E4,第一属性比较!S2:S999,0))))))),INDEX(第一属性比较!A2:A999,IF(路线!B1="红",IF(路线!C2=3,MATCH(J2,第一属性比较!AA2:AA999,0),IF(路线!C2=2,MATCH(C2,第一属性比较!N2:N999,0),IF(路线!C2=1,MATCH(D2,第一属性比较!N2:N999,0),MATCH(E2,第一属性比较!N2:N999,0)))),IF(路线!B1="蓝",IF(路线!C3=3,MATCH(J3,第一属性比较!AB2:AB999,0),IF(路线!C3=2,MATCH(C3,第一属性比较!Q2:Q999,0),IF(路线!C3=1,MATCH(D3,第一属性比较!Q2:Q999,0),MATCH(E3,第一属性比较!Q2:Q999,0)))),IF(路线!C4=3,MATCH(J4,第一属性比较!AC2:AC999,0),IF(路线!C4=2,MATCH(C4,第一属性比较!T2:T999,0),IF(路线!C4=1,MATCH(D4,第一属性比较!T2:T999,0),MATCH(E4,第一属性比较!T2:T999,0))))))))),A8)</f>
        <v>ぜったい追いついてやる！（红叶）</v>
      </c>
      <c r="E8" s="1"/>
      <c r="F8" s="1"/>
      <c r="G8" s="87" t="str">
        <f>IF(路线!B3="感性",IF(AND(D8=A6,A7=A6),INDEX(第一属性比较!A2:A999,IF(路线!B1="红",IF(路线!C2=3,MATCH(J2,第一属性比较!U2:U999,0),IF(路线!C2=2,MATCH(D2,第一属性比较!L2:L999,0),IF(路线!C2=1,MATCH(E2,第一属性比较!L2:L999,0),MATCH(F2,第一属性比较!L2:L999,0)))),IF(路线!B1="蓝",IF(路线!C3=3,MATCH(J3,第一属性比较!V2:V999,0),IF(路线!C3=2,MATCH(D3,第一属性比较!O2:O999,0),IF(路线!C3=1,MATCH(E3,第一属性比较!O2:O999,0),MATCH(F3,第一属性比较!O2:O999,0)))),IF(路线!C4=3,MATCH(J4,第一属性比较!W2:W999,0),IF(路线!C4=2,MATCH(D4,第一属性比较!R2:R999,0),IF(路线!C4=1,MATCH(E4,第一属性比较!R2:R999,0),MATCH(F4,第一属性比较!R2:R999,0))))))),IF(D8=A6,INDEX(第一属性比较!A2:A999,IF(路线!B1="红",IF(路线!C2=3,MATCH(J2,第一属性比较!U2:U999,0),IF(路线!C2=2,MATCH(C2,第一属性比较!L2:L999,0),IF(路线!C2=1,MATCH(D2,第一属性比较!L2:L999,0),MATCH(E2,第一属性比较!L2:L999,0)))),IF(路线!B1="蓝",IF(路线!C3=3,MATCH(J3,第一属性比较!V2:V999,0),IF(路线!C3=2,MATCH(C3,第一属性比较!O2:O999,0),IF(路线!C3=1,MATCH(D3,第一属性比较!O2:O999,0),MATCH(E3,第一属性比较!O2:O999,0)))),IF(路线!C4=3,MATCH(J4,第一属性比较!W2:W999,0),IF(路线!C4=2,MATCH(C4,第一属性比较!R2:R999,0),IF(路线!C4=1,MATCH(D4,第一属性比较!R2:R999,0),MATCH(E4,第一属性比较!R2:R999,0))))))),D8)),IF(路线!B3="理性",IF(AND(D8=A6,A7=A6),INDEX(第一属性比较!A2:A999,IF(路线!B1="红",IF(路线!C2=3,MATCH(J2,第一属性比较!X2:X999,0),IF(路线!C2=2,MATCH(D2,第一属性比较!M2:M999,0),IF(路线!C2=1,MATCH(E2,第一属性比较!M2:M999,0),MATCH(F2,第一属性比较!M2:M999,0)))),IF(路线!B1="蓝",IF(路线!C3=3,MATCH(J3,第一属性比较!Y2:Y999,0),IF(路线!C3=2,MATCH(D3,第一属性比较!P2:P999,0),IF(路线!C3=1,MATCH(E3,第一属性比较!P2:P999,0),MATCH(F3,第一属性比较!P2:P999,0)))),IF(路线!C4=3,MATCH(J4,第一属性比较!Z2:Z999,0),IF(路线!C4=2,MATCH(D4,第一属性比较!S2:S999,0),IF(路线!C4=1,MATCH(E4,第一属性比较!S2:S999,0),MATCH(F4,第一属性比较!S2:S999,0))))))),IF(D8=A6,INDEX(第一属性比较!A2:A999,IF(路线!B1="红",IF(路线!C2=3,MATCH(J2,第一属性比较!X2:X999,0),IF(路线!C2=2,MATCH(C2,第一属性比较!M2:M999,0),IF(路线!C2=1,MATCH(D2,第一属性比较!M2:M999,0),MATCH(E2,第一属性比较!M2:M999,0)))),IF(路线!B1="蓝",IF(路线!C3=3,MATCH(J3,第一属性比较!Y2:Y999,0),IF(路线!C3=2,MATCH(C3,第一属性比较!P2:P999,0),IF(路线!C3=1,MATCH(D3,第一属性比较!P2:P999,0),MATCH(E3,第一属性比较!P2:P999,0)))),IF(路线!C4=3,MATCH(J4,第一属性比较!Z2:Z999,0),IF(路线!C4=2,MATCH(C4,第一属性比较!S2:S999,0),IF(路线!C4=1,MATCH(D4,第一属性比较!S2:S999,0),MATCH(E4,第一属性比较!S2:S999,0))))))),D8)),IF(AND(D8=A6,A7=A6),INDEX(第一属性比较!A2:A999,IF(路线!B1="红",IF(路线!C2=3,MATCH(J2,第一属性比较!AA2:AA999,0),IF(路线!C2=2,MATCH(D2,第一属性比较!N2:N999,0),IF(路线!C2=1,MATCH(E2,第一属性比较!N2:N999,0),MATCH(F2,第一属性比较!N2:N999,0)))),IF(路线!B1="蓝",IF(路线!C3=3,MATCH(J3,第一属性比较!AB2:AB999,0),IF(路线!C3=2,MATCH(D3,第一属性比较!Q2:Q999,0),IF(路线!C3=1,MATCH(E3,第一属性比较!Q2:Q999,0),MATCH(F3,第一属性比较!Q2:Q999,0)))),IF(路线!C4=3,MATCH(J4,第一属性比较!AC2:AC999,0),IF(路线!C4=2,MATCH(D4,第一属性比较!T2:T999,0),IF(路线!C4=1,MATCH(E4,第一属性比较!T2:T999,0),MATCH(F4,第一属性比较!T2:T999,0))))))),IF(D8=A6,INDEX(第一属性比较!A2:A999,IF(路线!B1="红",IF(路线!C2=3,MATCH(J2,第一属性比较!AA2:AA999,0),IF(路线!C2=2,MATCH(C2,第一属性比较!N2:N999,0),IF(路线!C2=1,MATCH(D2,第一属性比较!N2:N999,0),MATCH(E2,第一属性比较!N2:N999,0)))),IF(路线!B1="蓝",IF(路线!C3=3,MATCH(J3,第一属性比较!AB2:AB999,0),IF(路线!C3=2,MATCH(C3,第一属性比较!Q2:Q999,0),IF(路线!C3=1,MATCH(D3,第一属性比较!Q2:Q999,0),MATCH(E3,第一属性比较!Q2:Q999,0)))),IF(路线!C4=3,MATCH(J4,第一属性比较!AC2:AC999,0),IF(路线!C4=2,MATCH(C4,第一属性比较!T2:T999,0),IF(路线!C4=1,MATCH(D4,第一属性比较!T2:T999,0),MATCH(E4,第一属性比较!T2:T999,0))))))),D8))))</f>
        <v>ぜったい追いついてやる！（红叶）</v>
      </c>
      <c r="H8" s="3"/>
      <c r="I8" s="3"/>
      <c r="J8" s="3" t="str">
        <f>IF(G8=D7,IF(路线!B3="感性",INDEX(第一属性比较!A2:A999,IF(路线!B1="红",IF(路线!C2=3,MATCH(J2,第一属性比较!U2:U999,0),IF(路线!C2=2,MATCH(D2,第一属性比较!L2:L999,0),IF(路线!C2=1,MATCH(E2,第一属性比较!L2:L999,0),MATCH(F2,第一属性比较!L2:L999,0)))),IF(路线!B1="蓝",IF(路线!C3=3,MATCH(J3,第一属性比较!V2:V999,0),IF(路线!C3=2,MATCH(D3,第一属性比较!O2:O999,0),IF(路线!C3=1,MATCH(E3,第一属性比较!O2:O999,0),MATCH(F3,第一属性比较!O2:O999,0)))),IF(路线!C4=3,MATCH(J4,第一属性比较!W2:W999,0),IF(路线!C4=2,MATCH(D4,第一属性比较!R2:R999,0),IF(路线!C4=1,MATCH(E4,第一属性比较!R2:R999,0),MATCH(F4,第一属性比较!R2:R999,0))))))),IF(路线!B3="理性",INDEX(第一属性比较!A2:A999,IF(路线!B1="红",IF(路线!C2=3,MATCH(J2,第一属性比较!X2:X999,0),IF(路线!C2=2,MATCH(D2,第一属性比较!M2:M999,0),IF(路线!C2=1,MATCH(E2,第一属性比较!M2:M999,0),MATCH(F2,第一属性比较!M2:M999,0)))),IF(路线!B1="蓝",IF(路线!C3=3,MATCH(J3,第一属性比较!Y2:Y999,0),IF(路线!C3=2,MATCH(D3,第一属性比较!P2:P999,0),IF(路线!C3=1,MATCH(E3,第一属性比较!P2:P999,0),MATCH(F3,第一属性比较!P2:P999,0)))),IF(路线!C4=3,MATCH(J4,第一属性比较!Z2:Z999,0),IF(路线!C4=2,MATCH(D4,第一属性比较!S2:S999,0),IF(路线!C4=1,MATCH(E4,第一属性比较!S2:S999,0),MATCH(F4,第一属性比较!S2:S999,0))))))),INDEX(第一属性比较!A2:A999,IF(路线!B1="红",IF(路线!C2=3,MATCH(J2,第一属性比较!AA2:AA999,0),IF(路线!C2=2,MATCH(D2,第一属性比较!N2:N999,0),IF(路线!C2=1,MATCH(E2,第一属性比较!N2:N999,0),MATCH(F2,第一属性比较!N2:N999,0)))),IF(路线!B1="蓝",IF(路线!C3=3,MATCH(J3,第一属性比较!AB2:AB999,0),IF(路线!C3=2,MATCH(D3,第一属性比较!Q2:Q999,0),IF(路线!C3=1,MATCH(E3,第一属性比较!Q2:Q999,0),MATCH(F3,第一属性比较!Q2:Q999,0)))),IF(路线!C4=3,MATCH(J4,第一属性比较!AC2:AC999,0),IF(路线!C4=2,MATCH(D4,第一属性比较!T2:T999,0),IF(路线!C4=1,MATCH(E4,第一属性比较!T2:T999,0),MATCH(F4,第一属性比较!T2:T999,0))))))))),G8)</f>
        <v>ぜったい追いついてやる！（红叶）</v>
      </c>
      <c r="K8" s="1"/>
      <c r="L8" s="1"/>
      <c r="M8" s="97" t="str">
        <f>IF(M7=A6,IF(路线!B1="红",IF(路线!C2=0,P8,INDEX(第一属性比较!A2:A999,IF(路线!B3="感性",MATCH(S2,第一属性比较!AG2:AG999,0),IF(路线!B3="理性",MATCH(S2,第一属性比较!AM2:AM999,0),MATCH(S2,第一属性比较!AS2:AS999,0))))),IF(路线!B1="蓝",IF(路线!C3=0,P8,INDEX(第一属性比较!A2:A999,IF(路线!B3="感性",MATCH(S3,第一属性比较!AH2:AH999,0),IF(路线!B3="理性",MATCH(S3,第一属性比较!AN2:AN999,0),MATCH(S3,第一属性比较!AT2:AT999,0))))),IF(路线!C4=0,P8,INDEX(第一属性比较!A2:A999,IF(路线!B3="感性",MATCH(S4,第一属性比较!AI2:AI999,0),IF(路线!B3="理性",MATCH(S4,第一属性比较!AO2:AO999,0),MATCH(S4,第一属性比较!AU2:AU999,0))))))),M7)</f>
        <v>まるで王子様みたいな（王子）</v>
      </c>
      <c r="N8" s="3"/>
      <c r="O8" s="3"/>
      <c r="P8" s="87" t="str">
        <f>IF(P7=A6,IF(路线!B3="感性",INDEX(第一属性比较!A2:A999,IF(路线!B1="红",MATCH(N2,第一属性比较!AD2:AD999,0),IF(路线!B1="蓝",MATCH(N3,第一属性比较!AE2:AE999,0),MATCH(N4,第一属性比较!AF2:AF999,0)))),IF(路线!B3="理性",INDEX(第一属性比较!A2:A999,IF(路线!B1="红",MATCH(N2,第一属性比较!AJ2:AJ999,0),IF(路线!B1="蓝",MATCH(N3,第一属性比较!AK2:AK999,0),MATCH(N4,第一属性比较!AL2:AL999,0)))),INDEX(第一属性比较!A2:A999,IF(路线!B1="红",MATCH(N2,第一属性比较!AP2:AP999,0),IF(路线!B1="蓝",MATCH(N3,第一属性比较!AQ2:AQ999,0),MATCH(N4,第一属性比较!AR2:AR999,0)))))),P7)</f>
        <v>推し活なひととき、だね！（猫头鹰）</v>
      </c>
      <c r="Q8" s="1"/>
      <c r="R8" s="1"/>
      <c r="S8" s="1"/>
      <c r="T8" s="1"/>
      <c r="U8" s="1"/>
    </row>
    <row r="9" spans="1:21" ht="19" customHeight="1" x14ac:dyDescent="0.3">
      <c r="A9" s="84" t="str">
        <f>IF(路线!B3="感性",INDEX(第二属性比较!A2:A1100,IF(路线!B2="红",IF(路线!C2&gt;=1,MATCH(H24,第二属性比较!U2:U1100,0),MATCH(B24,第二属性比较!L2:L1100,0)),IF(路线!B2="蓝",IF(路线!C3&gt;=1,MATCH(H25,第二属性比较!V2:V1100,0),MATCH(B25,第二属性比较!O2:O1100,0)),IF(路线!C4&gt;=1,MATCH(H26,第二属性比较!W2:W1100,0),MATCH(B26,第二属性比较!R2:R1100,0))))),IF(路线!B3="理性",INDEX(第二属性比较!A2:A1100,IF(路线!B2="红",IF(路线!C2&gt;=1,MATCH(H24,第二属性比较!X2:X1100,0),MATCH(B24,第二属性比较!M2:M1100,0)),IF(路线!B2="蓝",IF(路线!C3&gt;=1,MATCH(H25,第二属性比较!Y2:Y1100,0),MATCH(B25,第二属性比较!P2:P1100,0)),IF(路线!C4&gt;=1,MATCH(H26,第二属性比较!Z2:Z1100,0),MATCH(B26,第二属性比较!S2:S1100,0))))),INDEX(第二属性比较!A2:A1100,IF(路线!B2="红",IF(路线!C2&gt;=1,MATCH(H24,第二属性比较!AA2:AA1100,0),MATCH(B24,第二属性比较!N2:N1100,0)),IF(路线!B2="蓝",IF(路线!C3&gt;=1,MATCH(H25,第二属性比较!AB2:AB1100,0),MATCH(B25,第二属性比较!Q2:Q1100,0)),IF(路线!C4&gt;=1,MATCH(H26,第二属性比较!AC2:AC1100,0),MATCH(B26,第二属性比较!T2:T1100,0)))))))</f>
        <v>そろそろ焼けたかな？（红薯）</v>
      </c>
      <c r="B9" s="1"/>
      <c r="C9" s="1"/>
      <c r="D9" s="1"/>
      <c r="E9" s="1"/>
      <c r="F9" s="1"/>
      <c r="G9" s="3"/>
      <c r="H9" s="3"/>
      <c r="I9" s="3"/>
      <c r="J9" s="3"/>
      <c r="K9" s="1"/>
      <c r="L9" s="1"/>
      <c r="M9" s="97" t="str">
        <f>IF(AND(M8=D7,M7=A6),IF(路线!B1="红",IF(路线!C2=0,P9,INDEX(第一属性比较!A2:A999,IF(路线!B3="感性",MATCH(T2,第一属性比较!AG2:AG999,0),IF(路线!B3="理性",MATCH(T2,第一属性比较!AM2:AM999,0),MATCH(T2,第一属性比较!AS2:AS999,0))))),IF(路线!B1="蓝",IF(路线!C3=0,P9,INDEX(第一属性比较!A2:A999,IF(路线!B3="感性",MATCH(T3,第一属性比较!AH2:AH999,0),IF(路线!B3="理性",MATCH(T3,第一属性比较!AN2:AN999,0),MATCH(T3,第一属性比较!AT2:AT999,0))))),IF(路线!C4=0,P9,INDEX(第一属性比较!A2:A999,IF(路线!B3="感性",MATCH(T4,第一属性比较!AI2:AI999,0),IF(路线!B3="理性",MATCH(T4,第一属性比较!AO2:AO999,0),MATCH(T4,第一属性比较!AU2:AU999,0))))))),IF(M8=D7,IF(路线!B1="红",IF(路线!C2=0,P9,INDEX(第一属性比较!A2:A999,IF(路线!B3="感性",MATCH(S2,第一属性比较!AG2:AG999,0),IF(路线!B3="理性",MATCH(S2,第一属性比较!AM2:AM999,0),MATCH(S2,第一属性比较!AS2:AS999,0))))),IF(路线!B1="蓝",IF(路线!C3=0,P9,INDEX(第一属性比较!A2:A999,IF(路线!B3="感性",MATCH(S3,第一属性比较!AH2:AH999,0),IF(路线!B3="理性",MATCH(S3,第一属性比较!AN2:AN999,0),MATCH(S3,第一属性比较!AT2:AT999,0))))),IF(路线!C4=0,P9,INDEX(第一属性比较!A2:A999,IF(路线!B3="感性",MATCH(S4,第一属性比较!AI2:AI999,0),IF(路线!B3="理性",MATCH(S4,第一属性比较!AO2:AO999,0),MATCH(S4,第一属性比较!AU2:AU999,0))))))),M8))</f>
        <v>まるで王子様みたいな（王子）</v>
      </c>
      <c r="N9" s="3"/>
      <c r="O9" s="3"/>
      <c r="P9" s="87" t="str">
        <f>IF(AND(P7=A6,P8=D7),IF(路线!B3="感性",INDEX(第一属性比较!A2:A999,IF(路线!B1="红",MATCH(O2,第一属性比较!AD2:AD999,0),IF(路线!B1="蓝",MATCH(O3,第一属性比较!AE2:AE999,0),MATCH(O4,第一属性比较!AF2:AF999,0)))),IF(路线!B3="理性",INDEX(第一属性比较!A2:A999,IF(路线!B1="红",MATCH(O2,第一属性比较!AJ2:AJ999,0),IF(路线!B1="蓝",MATCH(O3,第一属性比较!AK2:AK999,0),MATCH(O4,第一属性比较!AL2:AL999,0)))),INDEX(第一属性比较!A2:A999,IF(路线!B1="红",MATCH(O2,第一属性比较!AP2:AP999,0),IF(路线!B1="蓝",MATCH(O3,第一属性比较!AQ2:AQ999,0),MATCH(O4,第一属性比较!AR2:AR999,0)))))),IF(P8=D7,IF(路线!B3="感性",INDEX(第一属性比较!A2:A999,IF(路线!B1="红",MATCH(N2,第一属性比较!AD2:AD999,0),IF(路线!B1="蓝",MATCH(N3,第一属性比较!AE2:AE999,0),MATCH(N4,第一属性比较!AF2:AF999,0)))),IF(路线!B3="理性",INDEX(第一属性比较!A2:A999,IF(路线!B1="红",MATCH(N2,第一属性比较!AJ2:AJ999,0),IF(路线!B1="蓝",MATCH(N3,第一属性比较!AK2:AK999,0),MATCH(N4,第一属性比较!AL2:AL999,0)))),INDEX(第一属性比较!A2:A999,IF(路线!B1="红",MATCH(N2,第一属性比较!AP2:AP999,0),IF(路线!B1="蓝",MATCH(N3,第一属性比较!AQ2:AQ999,0),MATCH(N4,第一属性比较!AR2:AR999,0)))))),P8))</f>
        <v>ぜったい追いついてやる！（红叶）</v>
      </c>
      <c r="Q9" s="1"/>
      <c r="R9" s="1"/>
      <c r="S9" s="1"/>
      <c r="T9" s="1"/>
      <c r="U9" s="1"/>
    </row>
    <row r="10" spans="1:21" ht="19" customHeight="1" x14ac:dyDescent="0.3">
      <c r="A10" s="84" t="str">
        <f>IF(路线!B3="感性",INDEX(第二属性比较!A2:A1100,IF(路线!B2="红",IF(路线!C2&gt;=2,MATCH(I24,第二属性比较!U2:U1100,0),IF(路线!C2=1,MATCH(B24,第二属性比较!L2:L1100,0),MATCH(C24,第二属性比较!L2:L1100,0))),IF(路线!B2="蓝",IF(路线!C3&gt;=2,MATCH(I25,第二属性比较!V2:V1100,0),IF(路线!C3=1,MATCH(B25,第二属性比较!O2:O1100,0),MATCH(C25,第二属性比较!O2:O1100,0))),IF(路线!C4&gt;=2,MATCH(I26,第二属性比较!W2:W1100,0),IF(路线!C4=1,MATCH(B26,第二属性比较!R2:R1100,0),MATCH(C26,第二属性比较!R2:R1100,0)))))),IF(路线!B3="理性",INDEX(第二属性比较!A2:A1100,IF(路线!B2="红",IF(路线!C2&gt;=2,MATCH(I24,第二属性比较!X2:X1100,0),IF(路线!C2=1,MATCH(B24,第二属性比较!M2:M1100,0),MATCH(C24,第二属性比较!M2:M1100,0))),IF(路线!B2="蓝",IF(路线!C3&gt;=2,MATCH(I25,第二属性比较!Y2:Y1100,0),IF(路线!C3=1,MATCH(B25,第二属性比较!P2:P1100,0),MATCH(C25,第二属性比较!P2:P1100,0))),IF(路线!C4&gt;=2,MATCH(I26,第二属性比较!Z2:Z1100,0),IF(路线!C4=1,MATCH(B26,第二属性比较!S2:S1100,0),MATCH(C26,第二属性比较!S2:S1100,0)))))),INDEX(第二属性比较!A2:A1100,IF(路线!B2="红",IF(路线!C2&gt;=2,MATCH(I24,第二属性比较!AA2:AA1100,0),IF(路线!C2=1,MATCH(B24,第二属性比较!N2:N1100,0),MATCH(C24,第二属性比较!N2:N1100,0))),IF(路线!B2="蓝",IF(路线!C3&gt;=2,MATCH(I25,第二属性比较!AB2:AB1100,0),IF(路线!C3=1,MATCH(B25,第二属性比较!Q2:Q1100,0),MATCH(C25,第二属性比较!Q2:Q1100,0))),IF(路线!C4&gt;=2,MATCH(I26,第二属性比较!AC2:AC1100,0),IF(路线!C4=1,MATCH(B26,第二属性比较!T2:T1100,0),MATCH(C26,第二属性比较!T2:T1100,0))))))))</f>
        <v>利用し合うのが友達！（黄毛摸鱼）</v>
      </c>
      <c r="B10" s="1"/>
      <c r="C10" s="1"/>
      <c r="D10" s="84" t="str">
        <f>IF(A10=A9,IF(路线!B3="感性",INDEX(第二属性比较!A2:A1100,IF(路线!B2="红",IF(路线!C2&gt;=2,MATCH(I24,第二属性比较!U2:U1100,0),IF(路线!C2=1,MATCH(C24,第二属性比较!L2:L1100,0),MATCH(D24,第二属性比较!L2:L1100,0))),IF(路线!B2="蓝",IF(路线!C3&gt;=2,MATCH(I25,第二属性比较!V2:V1100,0),IF(路线!C3=1,MATCH(C25,第二属性比较!O2:O1100,0),MATCH(D25,第二属性比较!O2:O1100,0))),IF(路线!C4&gt;=2,MATCH(I26,第二属性比较!W2:W1100,0),IF(路线!C4=1,MATCH(C26,第二属性比较!R2:R1100,0),MATCH(D26,第二属性比较!R2:R1100,0)))))),IF(路线!B3="理性",INDEX(第二属性比较!A2:A1100,IF(路线!B2="红",IF(路线!C2&gt;=2,MATCH(I24,第二属性比较!X2:X1100,0),IF(路线!C2=1,MATCH(C24,第二属性比较!M2:M1100,0),MATCH(D24,第二属性比较!M2:M1100,0))),IF(路线!B2="蓝",IF(路线!C3&gt;=2,MATCH(I25,第二属性比较!Y2:Y1100,0),IF(路线!C3=1,MATCH(C25,第二属性比较!P2:P1100,0),MATCH(D25,第二属性比较!P2:P1100,0))),IF(路线!C4&gt;=2,MATCH(I26,第二属性比较!Z2:Z1100,0),IF(路线!C4=1,MATCH(C26,第二属性比较!S2:S1100,0),MATCH(D26,第二属性比较!T2:T1100,0)))))),INDEX(第二属性比较!A2:A1100,IF(路线!B2="红",IF(路线!C2&gt;=2,MATCH(I24,第二属性比较!AA2:AA1100,0),IF(路线!C2=1,MATCH(C24,第二属性比较!N2:N1100,0),MATCH(D24,第二属性比较!N2:N1100,0))),IF(路线!B2="蓝",IF(路线!C3&gt;=2,MATCH(I25,第二属性比较!AB2:AB1100,0),IF(路线!C3=1,MATCH(C25,第二属性比较!Q2:Q1100,0),MATCH(D25,第二属性比较!Q2:Q1100,0))),IF(路线!C4&gt;=2,MATCH(I26,第二属性比较!AC2:AC1100,0),IF(路线!C4=1,MATCH(C26,第二属性比较!T2:T1100,0),MATCH(D26,第二属性比较!T2:T1100,0)))))))),A10)</f>
        <v>利用し合うのが友達！（黄毛摸鱼）</v>
      </c>
      <c r="E10" s="1"/>
      <c r="F10" s="1"/>
      <c r="G10" s="3"/>
      <c r="H10" s="3"/>
      <c r="I10" s="3"/>
      <c r="J10" s="3"/>
      <c r="K10" s="1"/>
      <c r="L10" s="1"/>
      <c r="M10" s="97" t="str">
        <f>IF(AND(M9=J8,M8=D7,M7=A6),IF(路线!B1="红",IF(路线!C2=0,P10,INDEX(第一属性比较!A2:A999,IF(路线!B3="感性",MATCH(U2,第一属性比较!AG2:AG999,0),IF(路线!B3="理性",MATCH(U2,第一属性比较!AM2:AM999,0),MATCH(U2,第一属性比较!AS2:AS999,0))))),IF(路线!B1="蓝",IF(路线!C3=0,P10,INDEX(第一属性比较!A2:A999,IF(路线!B3="感性",MATCH(U3,第一属性比较!AH2:AH999,0),IF(路线!B3="理性",MATCH(U3,第一属性比较!AN2:AN999,0),MATCH(U3,第一属性比较!AT2:AT999,0))))),IF(路线!C4=0,P10,INDEX(第一属性比较!A2:A999,IF(路线!B3="感性",MATCH(U4,第一属性比较!AI2:AI999,0),IF(路线!B3="理性",MATCH(U4,第一属性比较!AO2:AO999,0),MATCH(U4,第一属性比较!AU2:AU999,0))))))),IF(OR(AND(M9=J8,M8=D7),AND(M9=J8,M7=A6)),IF(路线!B1="红",IF(路线!C2=0,P10,INDEX(第一属性比较!A2:A999,IF(路线!B3="感性",MATCH(T2,第一属性比较!AG2:AG999,0),IF(路线!B3="理性",MATCH(T2,第一属性比较!AM2:AM999,0),MATCH(T2,第一属性比较!AS2:AS999,0))))),IF(路线!B1="蓝",IF(路线!C3=0,P10,INDEX(第一属性比较!A2:A999,IF(路线!B3="感性",MATCH(T3,第一属性比较!AH2:AH999,0),IF(路线!B3="理性",MATCH(T3,第一属性比较!AN2:AN999,0),MATCH(T3,第一属性比较!AT2:AT999,0))))),IF(路线!C4=0,P10,INDEX(第一属性比较!A2:A999,IF(路线!B3="感性",MATCH(T4,第一属性比较!AI2:AI999,0),IF(路线!B3="理性",MATCH(T4,第一属性比较!AO2:AO999,0),MATCH(T4,第一属性比较!AU2:AU999,0))))))),IF(M9=J8,IF(路线!B1="红",IF(路线!C2=0,P10,INDEX(第一属性比较!A2:A999,IF(路线!B3="感性",MATCH(S2,第一属性比较!AG2:AG999,0),IF(路线!B3="理性",MATCH(S2,第一属性比较!AM2:AM999,0),MATCH(S2,第一属性比较!AS2:AS999,0))))),IF(路线!B1="蓝",IF(路线!C3=0,P10,INDEX(第一属性比较!A2:A999,IF(路线!B3="感性",MATCH(S3,第一属性比较!AH2:AH999,0),IF(路线!B3="理性",MATCH(S3,第一属性比较!AN2:AN999,0),MATCH(S3,第一属性比较!AT2:AT999,0))))),IF(路线!C4=0,P10,INDEX(第一属性比较!A2:A999,IF(路线!B3="感性",MATCH(S4,第一属性比较!AI2:AI999,0),IF(路线!B3="理性",MATCH(S4,第一属性比较!AO2:AO999,0),MATCH(S4,第一属性比较!AU2:AU999,0))))))),M9)))</f>
        <v>まるで王子様みたいな（王子）</v>
      </c>
      <c r="N10" s="3"/>
      <c r="O10" s="3"/>
      <c r="P10" s="87" t="str">
        <f>IF(AND(P7=A6,P8=D7,P9=J8),IF(路线!B3="感性",INDEX(第一属性比较!A2:A999,IF(路线!B1="红",MATCH(P2,第一属性比较!AD2:AD999,0),IF(路线!B1="蓝",MATCH(P3,第一属性比较!AE2:AE999,0),MATCH(P4,第一属性比较!AF2:AF999,0)))),IF(路线!B3="理性",INDEX(第一属性比较!A2:A999,IF(路线!B1="红",MATCH(P2,第一属性比较!AJ2:AJ999,0),IF(路线!B1="蓝",MATCH(P3,第一属性比较!AK2:AK999,0),MATCH(P4,第一属性比较!AL2:AL999,0)))),INDEX(第一属性比较!A2:A999,IF(路线!B1="红",MATCH(P2,第一属性比较!AP2:AP999,0),IF(路线!B1="蓝",MATCH(P3,第一属性比较!AQ2:AQ999,0),MATCH(P4,第一属性比较!AR2:AR999,0)))))),IF(OR(AND(P7=A6,P9=J8),AND(P8=D7,P9=J8)),IF(路线!B3="感性",INDEX(第一属性比较!A2:A999,IF(路线!B1="红",MATCH(O2,第一属性比较!AD2:AD999,0),IF(路线!B1="蓝",MATCH(O3,第一属性比较!AE2:AE999,0),MATCH(O4,第一属性比较!AF2:AF999,0)))),IF(路线!B3="理性",INDEX(第一属性比较!A2:A999,IF(路线!B1="红",MATCH(O2,第一属性比较!AJ2:AJ999,0),IF(路线!B1="蓝",MATCH(O3,第一属性比较!AK2:AK999,0),MATCH(O4,第一属性比较!AL2:AL999,0)))),INDEX(第一属性比较!A2:A999,IF(路线!B1="红",MATCH(O2,第一属性比较!AP2:AP999,0),IF(路线!B1="蓝",MATCH(O3,第一属性比较!AQ2:AQ999,0),MATCH(O4,第一属性比较!AR2:AR999,0)))))),IF(P9=J8,IF(路线!B3="感性",INDEX(第一属性比较!A2:A999,IF(路线!B1="红",MATCH(N2,第一属性比较!AD2:AD999,0),IF(路线!B1="蓝",MATCH(N3,第一属性比较!AE2:AE999,0),MATCH(N4,第一属性比较!AF2:AF999,0)))),IF(路线!B3="理性",INDEX(第一属性比较!A2:A999,IF(路线!B1="红",MATCH(N2,第一属性比较!AJ2:AJ999,0),IF(路线!B1="蓝",MATCH(N3,第一属性比较!AK2:AK999,0),MATCH(N4,第一属性比较!AL2:AL999,0)))),INDEX(第一属性比较!A2:A999,IF(路线!B1="红",MATCH(N2,第一属性比较!AP2:AP999,0),IF(路线!B1="蓝",MATCH(N3,第一属性比较!AQ2:AQ999,0),MATCH(N4,第一属性比较!AR2:AR999,0)))))),P9)))</f>
        <v>かちこちストレッチ（菲柱体前屈）</v>
      </c>
      <c r="Q10" s="1"/>
      <c r="R10" s="1"/>
      <c r="S10" s="1"/>
      <c r="T10" s="1"/>
      <c r="U10" s="1"/>
    </row>
    <row r="11" spans="1:21" ht="19" customHeight="1" x14ac:dyDescent="0.3">
      <c r="A11" s="84" t="str">
        <f>IF(路线!B3="感性",INDEX(第二属性比较!A2:A1100,IF(路线!B2="红",IF(路线!C2=3,MATCH(J24,第二属性比较!U2:U1100,0),IF(路线!C2=2,MATCH(B24,第二属性比较!L2:L1100,0),IF(路线!C2=1,MATCH(C24,第二属性比较!L2:L1100,0),MATCH(D24,第二属性比较!L2:L1100,0)))),IF(路线!B2="蓝",IF(路线!C3=3,MATCH(J25,第二属性比较!V2:V1100,0),IF(路线!C3=2,MATCH(B25,第二属性比较!O2:O1100,0),IF(路线!C3=1,MATCH(C25,第二属性比较!O2:O1100,0),MATCH(D25,第二属性比较!O2:O1100,0)))),IF(路线!C4=3,MATCH(J26,第二属性比较!W2:W1100,0),IF(路线!C4=2,MATCH(B26,第二属性比较!R2:R1100,0),IF(路线!C4=1,MATCH(C26,第二属性比较!R2:R1100,0),MATCH(D26,第二属性比较!R2:R1100,0))))))),IF(路线!B3="理性",INDEX(第二属性比较!A2:A1100,IF(路线!B2="红",IF(路线!C2=3,MATCH(J24,第二属性比较!X2:X1100,0),IF(路线!C2=2,MATCH(B24,第二属性比较!M2:M1100,0),IF(路线!C2=1,MATCH(C24,第二属性比较!M2:M1100,0),MATCH(D24,第二属性比较!M2:M1100,0)))),IF(路线!B2="蓝",IF(路线!C3=3,MATCH(J25,第二属性比较!Y2:Y1100,0),IF(路线!C3=2,MATCH(B25,第二属性比较!P2:P1100,0),IF(路线!C3=1,MATCH(C25,第二属性比较!P2:P1100,0),MATCH(D25,第二属性比较!P2:P1100,0)))),IF(路线!C4=3,MATCH(J26,第二属性比较!Z2:Z1100,0),IF(路线!C4=2,MATCH(B26,第二属性比较!S2:S1100,0),IF(路线!C4=1,MATCH(C26,第二属性比较!S2:S1100,0),MATCH(D26,第二属性比较!S2:S1100,0))))))),INDEX(第二属性比较!A2:A1100,IF(路线!B2="红",IF(路线!C2=3,MATCH(J24,第二属性比较!AA2:AA1100,0),IF(路线!C2=2,MATCH(B24,第二属性比较!N2:N1100,0),IF(路线!C2=1,MATCH(C24,第二属性比较!N2:N1100,0),MATCH(D24,第二属性比较!N2:N1100,0)))),IF(路线!B2="蓝",IF(路线!C3=3,MATCH(J25,第二属性比较!AB2:AB1100,0),IF(路线!C3=2,MATCH(B25,第二属性比较!Q2:Q1100,0),IF(路线!C3=1,MATCH(C25,第二属性比较!Q2:Q1100,0),MATCH(D25,第二属性比较!Q2:Q1100,0)))),IF(路线!C4=3,MATCH(J26,第二属性比较!AC2:AC1100,0),IF(路线!C4=2,MATCH(B26,第二属性比较!T2:T1100,0),IF(路线!C4=1,MATCH(C26,第二属性比较!T2:T1100,0),MATCH(D26,第二属性比较!T2:T1100,0)))))))))</f>
        <v>千奈の恩返し（恩返）</v>
      </c>
      <c r="B11" s="1"/>
      <c r="C11" s="1"/>
      <c r="D11" s="84" t="str">
        <f>IF(A11=D10,IF(路线!B3="感性",INDEX(第二属性比较!A2:A1100,IF(路线!B2="红",IF(路线!C2=3,MATCH(J24,第二属性比较!U2:U1100,0),IF(路线!C2=2,MATCH(C24,第二属性比较!L2:L1100,0),IF(路线!C2=1,MATCH(D24,第二属性比较!L2:L1100,0),MATCH(E24,第二属性比较!L2:L1100,0)))),IF(路线!B2="蓝",IF(路线!C3=3,MATCH(J25,第二属性比较!V2:V1100,0),IF(路线!C3=2,MATCH(C25,第二属性比较!O2:O1100,0),IF(路线!C3=1,MATCH(D25,第二属性比较!O2:O1100,0),MATCH(E25,第二属性比较!O2:O1100,0)))),IF(路线!C4=3,MATCH(J26,第二属性比较!W2:W1100,0),IF(路线!C4=2,MATCH(C26,第二属性比较!R2:R1100,0),IF(路线!C4=1,MATCH(D26,第二属性比较!R2:R1100,0),MATCH(E26,第二属性比较!R2:R1100,0))))))),IF(路线!B3="理性",INDEX(第二属性比较!A2:A1100,IF(路线!B2="红",IF(路线!C2=3,MATCH(J24,第二属性比较!X2:X1100,0),IF(路线!C2=2,MATCH(C24,第二属性比较!M2:M1100,0),IF(路线!C2=1,MATCH(D24,第二属性比较!M2:M1100,0),MATCH(E24,第二属性比较!M2:M1100,0)))),IF(路线!B2="蓝",IF(路线!C3=3,MATCH(J25,第二属性比较!Y2:Y1100,0),IF(路线!C3=2,MATCH(C25,第二属性比较!P2:P1100,0),IF(路线!C3=1,MATCH(D25,第二属性比较!P2:P1100,0),MATCH(E25,第二属性比较!P2:P1100,0)))),IF(路线!C4=3,MATCH(J26,第二属性比较!Z2:Z1100,0),IF(路线!C4=2,MATCH(C26,第二属性比较!S2:S1100,0),IF(路线!C4=1,MATCH(D26,第二属性比较!S2:S1100,0),MATCH(E26,第二属性比较!S2:S1100,0))))))),INDEX(第二属性比较!A2:A1100,IF(路线!B2="红",IF(路线!C2=3,MATCH(J24,第二属性比较!AA2:AA1100,0),IF(路线!C2=2,MATCH(C24,第二属性比较!N2:N1100,0),IF(路线!C2=1,MATCH(D24,第二属性比较!N2:N1100,0),MATCH(E24,第二属性比较!N2:N1100,0)))),IF(路线!B2="蓝",IF(路线!C3=3,MATCH(J25,第二属性比较!AB2:AB1100,0),IF(路线!C3=2,MATCH(C25,第二属性比较!Q2:Q1100,0),IF(路线!C3=1,MATCH(D25,第二属性比较!Q2:Q1100,0),MATCH(E25,第二属性比较!Q2:Q1100,0)))),IF(路线!C4=3,MATCH(J26,第二属性比较!AC2:AC1100,0),IF(路线!C4=2,MATCH(C26,第二属性比较!T2:T1100,0),IF(路线!C4=1,MATCH(D26,第二属性比较!T2:T1100,0),MATCH(E26,第二属性比较!T2:T1100,0))))))))),A11)</f>
        <v>千奈の恩返し（恩返）</v>
      </c>
      <c r="E11" s="1"/>
      <c r="F11" s="1"/>
      <c r="G11" s="87" t="str">
        <f>IF(路线!B3="感性",IF(AND(D11=A9,A10=A9),INDEX(第二属性比较!A2:A1100,IF(路线!B2="红",IF(路线!C2=3,MATCH(J24,第二属性比较!U2:U1100,0),IF(路线!C2=2,MATCH(D24,第二属性比较!L2:L1100,0),IF(路线!C2=1,MATCH(E24,第二属性比较!L2:L1100,0),MATCH(F24,第二属性比较!L2:L1100,0)))),IF(路线!B2="蓝",IF(路线!C3=3,MATCH(J25,第二属性比较!V2:V1100,0),IF(路线!C3=2,MATCH(D25,第二属性比较!O2:O1100,0),IF(路线!C3=1,MATCH(E25,第二属性比较!O2:O1100,0),MATCH(F25,第二属性比较!O2:O1100,0)))),IF(路线!C4=3,MATCH(J26,第二属性比较!W2:W1100,0),IF(路线!C4=2,MATCH(D26,第二属性比较!R2:R1100,0),IF(路线!C4=1,MATCH(E26,第二属性比较!R2:R1100,0),MATCH(F26,第二属性比较!R2:R1100,0))))))),IF(D11=A9,INDEX(第二属性比较!A2:A1100,IF(路线!B2="红",IF(路线!C2=3,MATCH(J24,第二属性比较!U2:U1100,0),IF(路线!C2=2,MATCH(C24,第二属性比较!L2:L1100,0),IF(路线!C2=1,MATCH(D24,第二属性比较!L2:L1100,0),MATCH(E24,第二属性比较!L2:L1100,0)))),IF(路线!B2="蓝",IF(路线!C3=3,MATCH(J25,第二属性比较!V2:V1100,0),IF(路线!C3=2,MATCH(C25,第二属性比较!O2:O1100,0),IF(路线!C3=1,MATCH(D25,第二属性比较!O2:O1100,0),MATCH(E25,第二属性比较!O2:O1100,0)))),IF(路线!C4=3,MATCH(J26,第二属性比较!W2:W1100,0),IF(路线!C4=2,MATCH(C26,第二属性比较!R2:R1100,0),IF(路线!C4=1,MATCH(D26,第二属性比较!R2:R1100,0),MATCH(E26,第二属性比较!R2:R1100,0))))))),D11)),IF(路线!B3="理性",IF(AND(D11=A9,A10=A9),INDEX(第二属性比较!A2:A1100,IF(路线!B2="红",IF(路线!C2=3,MATCH(J24,第二属性比较!X2:X1100,0),IF(路线!C2=2,MATCH(D24,第二属性比较!M2:M1100,0),IF(路线!C2=1,MATCH(E24,第二属性比较!M2:M1100,0),MATCH(F24,第二属性比较!M2:M1100,0)))),IF(路线!B2="蓝",IF(路线!C3=3,MATCH(J25,第二属性比较!Y2:Y1100,0),IF(路线!C3=2,MATCH(D25,第二属性比较!P2:P1100,0),IF(路线!C3=1,MATCH(E25,第二属性比较!P2:P1100,0),MATCH(F25,第二属性比较!P2:P1100,0)))),IF(路线!C4=3,MATCH(J26,第二属性比较!Z2:Z1100,0),IF(路线!C4=2,MATCH(D26,第二属性比较!S2:S1100,0),IF(路线!C4=1,MATCH(E26,第二属性比较!S2:S1100,0),MATCH(F26,第二属性比较!S2:S1100,0))))))),IF(D11=A9,INDEX(第二属性比较!A2:A1100,IF(路线!B2="红",IF(路线!C2=3,MATCH(J24,第二属性比较!X2:X1100,0),IF(路线!C2=2,MATCH(C24,第二属性比较!M2:M1100,0),IF(路线!C2=1,MATCH(D24,第二属性比较!M2:M1100,0),MATCH(E24,第二属性比较!M2:M1100,0)))),IF(路线!B2="蓝",IF(路线!C3=3,MATCH(J25,第二属性比较!Y2:Y1100,0),IF(路线!C3=2,MATCH(C25,第二属性比较!P2:P1100,0),IF(路线!C3=1,MATCH(D25,第二属性比较!P2:P1100,0),MATCH(E25,第二属性比较!P2:P1100,0)))),IF(路线!C4=3,MATCH(J26,第二属性比较!Z2:Z1100,0),IF(路线!C4=2,MATCH(C26,第二属性比较!S2:S1100,0),IF(路线!C4=1,MATCH(D26,第二属性比较!S2:S1100,0),MATCH(E26,第二属性比较!S2:S1100,0))))))),D11)),IF(AND(D11=A9,A10=A9),INDEX(第二属性比较!A2:A1100,IF(路线!B2="红",IF(路线!C2=3,MATCH(J24,第二属性比较!AA2:AA1100,0),IF(路线!C2=2,MATCH(D24,第二属性比较!N2:N1100,0),IF(路线!C2=1,MATCH(E24,第二属性比较!N2:N1100,0),MATCH(F24,第二属性比较!N2:N1100,0)))),IF(路线!B2="蓝",IF(路线!C3=3,MATCH(J25,第二属性比较!AB2:AB1100,0),IF(路线!C3=2,MATCH(D25,第二属性比较!Q2:Q1100,0),IF(路线!C3=1,MATCH(E25,第二属性比较!Q2:Q1100,0),MATCH(F25,第二属性比较!Q2:Q1100,0)))),IF(路线!C4=3,MATCH(J26,第二属性比较!AC2:AC1100,0),IF(路线!C4=2,MATCH(D26,第二属性比较!T2:T1100,0),IF(路线!C4=1,MATCH(E26,第二属性比较!T2:T1100,0),MATCH(F26,第二属性比较!T2:T1100,0))))))),IF(D11=A9,INDEX(第二属性比较!A2:A1100,IF(路线!B2="红",IF(路线!C2=3,MATCH(J24,第二属性比较!AA2:AA1100,0),IF(路线!C2=2,MATCH(C24,第二属性比较!N2:N1100,0),IF(路线!C2=1,MATCH(D24,第二属性比较!N2:N1100,0),MATCH(E24,第二属性比较!N2:N1100,0)))),IF(路线!B2="蓝",IF(路线!C3=3,MATCH(J25,第二属性比较!AB2:AB1100,0),IF(路线!C3=2,MATCH(C25,第二属性比较!Q2:Q1100,0),IF(路线!C3=1,MATCH(D25,第二属性比较!Q2:Q1100,0),MATCH(E25,第二属性比较!Q2:Q1100,0)))),IF(路线!C4=3,MATCH(J26,第二属性比较!AC2:AC1100,0),IF(路线!C4=2,MATCH(C26,第二属性比较!T2:T1100,0),IF(路线!C4=1,MATCH(D26,第二属性比较!T2:T1100,0),MATCH(E26,第二属性比较!T2:T1100,0))))))),D11))))</f>
        <v>千奈の恩返し（恩返）</v>
      </c>
      <c r="H11" s="3"/>
      <c r="I11" s="3"/>
      <c r="J11" s="3" t="str">
        <f>IF(G11=D10,IF(路线!B3="感性",INDEX(第二属性比较!A2:A1100,IF(路线!B2="红",IF(路线!C2=3,MATCH(J24,第二属性比较!U2:U1100,0),IF(路线!C2=2,MATCH(D24,第二属性比较!L2:L1100,0),IF(路线!C2=1,MATCH(E24,第二属性比较!L2:L1100,0),MATCH(F24,第二属性比较!L2:L1100,0)))),IF(路线!B2="蓝",IF(路线!C3=3,MATCH(J25,第二属性比较!V2:V1100,0),IF(路线!C3=2,MATCH(D25,第二属性比较!O2:O1100,0),IF(路线!C3=1,MATCH(E25,第二属性比较!O2:O1100,0),MATCH(F25,第二属性比较!O2:O1100,0)))),IF(路线!C4=3,MATCH(J26,第二属性比较!W2:W1100,0),IF(路线!C4=2,MATCH(D26,第二属性比较!R2:R1100,0),IF(路线!C4=1,MATCH(E26,第二属性比较!R2:R1100,0),MATCH(F26,第二属性比较!R2:R1100,0))))))),IF(路线!B3="理性",INDEX(第二属性比较!A2:A1100,IF(路线!B2="红",IF(路线!C2=3,MATCH(J24,第二属性比较!X2:X1100,0),IF(路线!C2=2,MATCH(D24,第二属性比较!M2:M1100,0),IF(路线!C2=1,MATCH(E24,第二属性比较!M2:M1100,0),MATCH(F24,第二属性比较!M2:M1100,0)))),IF(路线!B2="蓝",IF(路线!C3=3,MATCH(J25,第二属性比较!Y2:Y1100,0),IF(路线!C3=2,MATCH(D25,第二属性比较!P2:P1100,0),IF(路线!C3=1,MATCH(E25,第二属性比较!P2:P1100,0),MATCH(F25,第二属性比较!P2:P1100,0)))),IF(路线!C4=3,MATCH(J26,第二属性比较!Z2:Z1100,0),IF(路线!C4=2,MATCH(D26,第二属性比较!S2:S1100,0),IF(路线!C4=1,MATCH(E26,第二属性比较!S2:S1100,0),MATCH(F26,第二属性比较!S2:S1100,0))))))),INDEX(第二属性比较!A2:A1100,IF(路线!B2="红",IF(路线!C2=3,MATCH(J24,第二属性比较!AA2:AA1100,0),IF(路线!C2=2,MATCH(D24,第二属性比较!N2:N1100,0),IF(路线!C2=1,MATCH(E24,第二属性比较!N2:N1100,0),MATCH(F24,第二属性比较!N2:N1100,0)))),IF(路线!B2="蓝",IF(路线!C3=3,MATCH(J25,第二属性比较!AB2:AB1100,0),IF(路线!C3=2,MATCH(D25,第二属性比较!Q2:Q1100,0),IF(路线!C3=1,MATCH(E25,第二属性比较!Q2:Q1100,0),MATCH(F25,第二属性比较!Q2:Q1100,0)))),IF(路线!C4=3,MATCH(J26,第二属性比较!AC2:AC1100,0),IF(路线!C4=2,MATCH(D26,第二属性比较!T2:T1100,0),IF(路线!C4=1,MATCH(E26,第二属性比较!T2:T1100,0),MATCH(F26,第二属性比较!T2:T1100,0))))))))),G11)</f>
        <v>千奈の恩返し（恩返）</v>
      </c>
      <c r="K11" s="1"/>
      <c r="L11" s="1"/>
      <c r="M11" s="3"/>
      <c r="N11" s="3"/>
      <c r="O11" s="3"/>
      <c r="P11" s="3"/>
      <c r="Q11" s="1"/>
      <c r="R11" s="1"/>
      <c r="S11" s="1"/>
      <c r="T11" s="1"/>
      <c r="U11" s="1"/>
    </row>
    <row r="12" spans="1:21" ht="19" customHeight="1" x14ac:dyDescent="0.3">
      <c r="A12" s="84" t="str">
        <f>IF(路线!B3="感性",INDEX(第二属性比较!A2:A1100,IF(路线!B2="红",IF(路线!C2=3,MATCH(B24,第二属性比较!L2:L1100,0),IF(路线!C2=2,MATCH(C24,第二属性比较!L2:L1100,0),IF(路线!C2=1,MATCH(D24,第二属性比较!L2:L1100,0),MATCH(E24,第二属性比较!L2:L1100,0)))),IF(路线!B2="蓝",IF(路线!C3=3,MATCH(B25,第二属性比较!O2:O1100,0),IF(路线!C3=2,MATCH(C25,第二属性比较!O2:O1100,0),IF(路线!C3=1,MATCH(D25,第二属性比较!O2:O1100,0),MATCH(E25,第二属性比较!O2:O1100,0)))),IF(路线!C4=3,MATCH(B26,第二属性比较!R2:R1100,0),IF(路线!C4=2,MATCH(C26,第二属性比较!R2:R1100,0),IF(路线!C4=1,MATCH(D26,第二属性比较!R2:R1100,0),MATCH(E26,第二属性比较!R2:R1100,0))))))),IF(路线!B3="理性",INDEX(第二属性比较!A2:A1100,IF(路线!B2="红",IF(路线!C2=3,MATCH(B24,第二属性比较!M2:M1100,0),IF(路线!C2=2,MATCH(C24,第二属性比较!M2:M1100,0),IF(路线!C2=1,MATCH(D24,第二属性比较!M2:M1100,0),MATCH(E24,第二属性比较!M2:M1100,0)))),IF(路线!B2="蓝",IF(路线!C3=3,MATCH(B25,第二属性比较!P2:P1100,0),IF(路线!C3=2,MATCH(C25,第二属性比较!P2:P1100,0),IF(路线!C3=1,MATCH(D25,第二属性比较!P2:P1100,0),MATCH(E25,第二属性比较!P2:P1100,0)))),IF(路线!C4=3,MATCH(B26,第二属性比较!S2:S1100,0),IF(路线!C4=2,MATCH(C26,第二属性比较!S2:S1100,0),IF(路线!C4=1,MATCH(D26,第二属性比较!S2:S1100,0),MATCH(E26,第二属性比较!S2:S1100,0))))))),INDEX(第二属性比较!A2:A1100,IF(路线!B2="红",IF(路线!C2=3,MATCH(B24,第二属性比较!N2:N1100,0),IF(路线!C2=2,MATCH(C24,第二属性比较!N2:N1100,0),IF(路线!C2=1,MATCH(D24,第二属性比较!N2:N1100,0),MATCH(E24,第二属性比较!N2:N1100,0)))),IF(路线!B2="蓝",IF(路线!C3=3,MATCH(B25,第二属性比较!Q2:Q1100,0),IF(路线!C3=2,MATCH(C25,第二属性比较!Q2:Q1100,0),IF(路线!C3=1,MATCH(D25,第二属性比较!Q2:Q1100,0),MATCH(E25,第二属性比较!Q2:Q1100,0)))),IF(路线!C4=3,MATCH(B26,第二属性比较!T2:T1100,0),IF(路线!C4=2,MATCH(C26,第二属性比较!T2:T1100,0),IF(路线!C4=1,MATCH(D26,第二属性比较!T2:T1100,0),MATCH(E26,第二属性比较!T2:T1100,0)))))))))</f>
        <v>そろそろ焼けたかな？（红薯）</v>
      </c>
      <c r="B12" s="1"/>
      <c r="C12" s="1"/>
      <c r="D12" s="84" t="str">
        <f>IF(A12=G11,IF(路线!B3="感性",INDEX(第二属性比较!A2:A1100,IF(路线!B2="红",IF(路线!C2=3,MATCH(C24,第二属性比较!L2:L1100,0),IF(路线!C2=2,MATCH(D24,第二属性比较!L2:L1100,0),IF(路线!C2=1,MATCH(E24,第二属性比较!L2:L1100,0),MATCH(F24,第二属性比较!L2:L1100,0)))),IF(路线!B2="蓝",IF(路线!C3=3,MATCH(C25,第二属性比较!O2:O1100,0),IF(路线!C3=2,MATCH(D25,第二属性比较!O2:O1100,0),IF(路线!C3=1,MATCH(E25,第二属性比较!O2:O1100,0),MATCH(F25,第二属性比较!O2:O1100,0)))),IF(路线!C4=3,MATCH(C26,第二属性比较!R2:R1100,0),IF(路线!C4=2,MATCH(D26,第二属性比较!R2:R1100,0),IF(路线!C4=1,MATCH(E26,第二属性比较!R2:R1100,0),MATCH(F26,第二属性比较!R2:R1100,0))))))),IF(路线!B3="理性",INDEX(第二属性比较!A2:A1100,IF(路线!B2="红",IF(路线!C2=3,MATCH(C24,第二属性比较!M2:M1100,0),IF(路线!C2=2,MATCH(D24,第二属性比较!M2:M1100,0),IF(路线!C2=1,MATCH(E24,第二属性比较!M2:M1100,0),MATCH(F24,第二属性比较!M2:M1100,0)))),IF(路线!B2="蓝",IF(路线!C3=3,MATCH(C25,第二属性比较!P2:P1100,0),IF(路线!C3=2,MATCH(D25,第二属性比较!P2:P1100,0),IF(路线!C3=1,MATCH(E25,第二属性比较!P2:P1100,0),MATCH(F25,第二属性比较!P2:P1100,0)))),IF(路线!C4=3,MATCH(C26,第二属性比较!S2:S1100,0),IF(路线!C4=2,MATCH(D26,第二属性比较!S2:S1100,0),IF(路线!C4=1,MATCH(E26,第二属性比较!S2:S1100,0),MATCH(F26,第二属性比较!S2:S1100,0))))))),INDEX(第二属性比较!A2:A1100,IF(路线!B2="红",IF(路线!C2=3,MATCH(C24,第二属性比较!N2:N1100,0),IF(路线!C2=2,MATCH(D24,第二属性比较!N2:N1100,0),IF(路线!C2=1,MATCH(E24,第二属性比较!N2:N1100,0),MATCH(F24,第二属性比较!N2:N1100,0)))),IF(路线!B2="蓝",IF(路线!C3=3,MATCH(C25,第二属性比较!Q2:Q1100,0),IF(路线!C3=2,MATCH(D25,第二属性比较!Q2:Q1100,0),IF(路线!C3=1,MATCH(E25,第二属性比较!Q2:Q1100,0),MATCH(F25,第二属性比较!Q2:Q1100,0)))),IF(路线!C4=3,MATCH(C26,第二属性比较!T2:T1100,0),IF(路线!C4=2,MATCH(D26,第二属性比较!T2:T1100,0),IF(路线!C4=1,MATCH(E26,第二属性比较!T2:T1100,0),MATCH(F26,第二属性比较!T2:T1100,0))))))))),A12)</f>
        <v>そろそろ焼けたかな？（红薯）</v>
      </c>
      <c r="E12" s="1"/>
      <c r="F12" s="1"/>
      <c r="G12" s="87" t="str">
        <f>IF(AND(A12=G11,D12=D10),IF(路线!B3="感性",INDEX(第二属性比较!A2:A1100,IF(路线!B2="红",IF(路线!C2=3,MATCH(D24,第二属性比较!L2:L1100,0),IF(路线!C2=2,MATCH(E24,第二属性比较!L2:L1100,0),IF(路线!C2=1,MATCH(F24,第二属性比较!L2:L1100,0),MATCH(G24,第二属性比较!L2:L1100,0)))),IF(路线!B2="蓝",IF(路线!C3=3,MATCH(D25,第二属性比较!O2:O1100,0),IF(路线!C3=2,MATCH(E25,第二属性比较!O2:O1100,0),IF(路线!C3=1,MATCH(F25,第二属性比较!O2:O1100,0),MATCH(G25,第二属性比较!O2:O1100,0)))),IF(路线!C4=3,MATCH(D26,第二属性比较!R2:R1100,0),IF(路线!C4=2,MATCH(E26,第二属性比较!R2:R1100,0),IF(路线!C4=1,MATCH(F26,第二属性比较!R2:R1100,0),MATCH(G26,第二属性比较!R2:R1100,0))))))),IF(路线!B3="理性",INDEX(第二属性比较!A2:A1100,IF(路线!B2="红",IF(路线!C2=3,MATCH(D24,第二属性比较!M2:M1100,0),IF(路线!C2=2,MATCH(E24,第二属性比较!M2:M1100,0),IF(路线!C2=1,MATCH(F24,第二属性比较!M2:M1100,0),MATCH(G24,第二属性比较!M2:M1100,0)))),IF(路线!B2="蓝",IF(路线!C3=3,MATCH(D25,第二属性比较!P2:P1100,0),IF(路线!C3=2,MATCH(E25,第二属性比较!P2:P1100,0),IF(路线!C3=1,MATCH(F25,第二属性比较!P2:P1100,0),MATCH(G25,第二属性比较!P2:P1100,0)))),IF(路线!C4=3,MATCH(D26,第二属性比较!S2:S1100,0),IF(路线!C4=2,MATCH(E26,第二属性比较!S2:S1100,0),IF(路线!C4=1,MATCH(F26,第二属性比较!S2:S1100,0),MATCH(G26,第二属性比较!S2:S1100,0))))))),INDEX(第二属性比较!A2:A1100,IF(路线!B2="红",IF(路线!C2=3,MATCH(D24,第二属性比较!N2:N1100,0),IF(路线!C2=2,MATCH(E24,第二属性比较!N2:N1100,0),IF(路线!C2=1,MATCH(F24,第二属性比较!N2:N1100,0),MATCH(G24,第二属性比较!N2:N1100,0)))),IF(路线!B2="蓝",IF(路线!C3=3,MATCH(D25,第二属性比较!Q2:Q1100,0),IF(路线!C3=2,MATCH(E25,第二属性比较!Q2:Q1100,0),IF(路线!C3=1,MATCH(F25,第二属性比较!Q2:Q1100,0),MATCH(G25,第二属性比较!Q2:Q1100,0)))),IF(路线!C4=3,MATCH(D26,第二属性比较!T2:T1100,0),IF(路线!C4=2,MATCH(E26,第二属性比较!T2:T1100,0),IF(路线!C4=1,MATCH(F26,第二属性比较!T2:T1100,0),MATCH(G26,第二属性比较!T2:T1100,0))))))))),IF(D12=D10,IF(路线!B3="感性",INDEX(第二属性比较!A2:A1100,IF(路线!B2="红",IF(路线!C2=3,MATCH(C24,第二属性比较!L2:L1100,0),IF(路线!C2=2,MATCH(D24,第二属性比较!L2:L1100,0),IF(路线!C2=1,MATCH(E24,第二属性比较!L2:L1100,0),MATCH(F24,第二属性比较!L2:L1100,0)))),IF(路线!B2="蓝",IF(路线!C3=3,MATCH(C25,第二属性比较!O2:O1100,0),IF(路线!C3=2,MATCH(D25,第二属性比较!O2:O1100,0),IF(路线!C3=1,MATCH(E25,第二属性比较!O2:O1100,0),MATCH(F25,第二属性比较!O2:O1100,0)))),IF(路线!C4=3,MATCH(C26,第二属性比较!R2:R1100,0),IF(路线!C4=2,MATCH(D26,第二属性比较!R2:R1100,0),IF(路线!C4=1,MATCH(E26,第二属性比较!R2:R1100,0),MATCH(F26,第二属性比较!R2:R1100,0))))))),IF(路线!B3="理性",INDEX(第二属性比较!A2:A1100,IF(路线!B2="红",IF(路线!C2=3,MATCH(C24,第二属性比较!M2:M1100,0),IF(路线!C2=2,MATCH(D24,第二属性比较!M2:M1100,0),IF(路线!C2=1,MATCH(E24,第二属性比较!M2:M1100,0),MATCH(F24,第二属性比较!M2:M1100,0)))),IF(路线!B2="蓝",IF(路线!C3=3,MATCH(C25,第二属性比较!P2:P1100,0),IF(路线!C3=2,MATCH(D25,第二属性比较!P2:P1100,0),IF(路线!C3=1,MATCH(E25,第二属性比较!P2:P1100,0),MATCH(F25,第二属性比较!P2:P1100,0)))),IF(路线!C4=3,MATCH(C26,第二属性比较!S2:S1100,0),IF(路线!C4=2,MATCH(D26,第二属性比较!S2:S1100,0),IF(路线!C4=1,MATCH(E26,第二属性比较!S2:S1100,0),MATCH(F26,第二属性比较!S2:S1100,0))))))),INDEX(第二属性比较!A2:A1100,IF(路线!B2="红",IF(路线!C2=3,MATCH(C24,第二属性比较!N2:N1100,0),IF(路线!C2=2,MATCH(D24,第二属性比较!N2:N1100,0),IF(路线!C2=1,MATCH(E24,第二属性比较!N2:N1100,0),MATCH(F24,第二属性比较!N2:N1100,0)))),IF(路线!B2="蓝",IF(路线!C3=3,MATCH(C25,第二属性比较!Q2:Q1100,0),IF(路线!C3=2,MATCH(D25,第二属性比较!Q2:Q1100,0),IF(路线!C3=1,MATCH(E25,第二属性比较!Q2:Q1100,0),MATCH(F25,第二属性比较!Q2:Q1100,0)))),IF(路线!C4=3,MATCH(C26,第二属性比较!T2:T1100,0),IF(路线!C4=2,MATCH(D26,第二属性比较!T2:T1100,0),IF(路线!C4=1,MATCH(E26,第二属性比较!T2:T1100,0),MATCH(F26,第二属性比较!T2:T1100,0))))))))),D12))</f>
        <v>そろそろ焼けたかな？（红薯）</v>
      </c>
      <c r="H12" s="3"/>
      <c r="I12" s="3"/>
      <c r="J12" s="87" t="str">
        <f>IF(J14&lt;&gt;0,J14,IF(J15&lt;&gt;0,J15,IF(J16&lt;&gt;0,J16,G12)))</f>
        <v>夏を満喫するわよ！（水枪）</v>
      </c>
      <c r="K12" s="1"/>
      <c r="L12" s="1"/>
      <c r="M12" s="87" t="s">
        <v>346</v>
      </c>
      <c r="N12" s="3"/>
      <c r="O12" s="3"/>
      <c r="P12" s="87" t="s">
        <v>347</v>
      </c>
      <c r="Q12" s="1"/>
      <c r="R12" s="1"/>
      <c r="S12" s="1"/>
      <c r="T12" s="1"/>
      <c r="U12" s="1"/>
    </row>
    <row r="13" spans="1:21" ht="19" customHeight="1" x14ac:dyDescent="0.3">
      <c r="A13" s="84" t="s">
        <v>11</v>
      </c>
      <c r="B13" s="1"/>
      <c r="C13" s="1"/>
      <c r="D13" s="1"/>
      <c r="E13" s="84" t="s">
        <v>348</v>
      </c>
      <c r="F13" s="1"/>
      <c r="G13" s="1"/>
      <c r="H13" s="1"/>
      <c r="I13" s="1"/>
      <c r="J13" s="1"/>
      <c r="K13" s="1"/>
      <c r="L13" s="1"/>
      <c r="M13" s="87" t="str">
        <f>IF(路线!B2="红",IF(路线!C2=0,P13,INDEX(第二属性比较!A2:A1100,IF(路线!B3="感性",MATCH(R24,第二属性比较!AG2:AG1100,0),IF(路线!B3="理性",MATCH(R24,第二属性比较!AM2:AM1100,0),MATCH(R24,第二属性比较!AS2:AS1100,0))))),IF(路线!B2="蓝",IF(路线!C3=0,P13,INDEX(第二属性比较!A2:A1100,IF(路线!B3="感性",MATCH(R25,第二属性比较!AH2:AH1100,0),IF(路线!B3="理性",MATCH(R25,第二属性比较!AN2:AN1100,0),MATCH(R25,第二属性比较!AT2:AT1100,0))))),IF(路线!C4=0,P13,INDEX(第二属性比较!A2:A1100,IF(路线!B3="感性",MATCH(R26,第二属性比较!AI2:AI1100,0),IF(路线!B3="理性",MATCH(R26,第二属性比较!AO2:AO1100,0),MATCH(R26,第二属性比较!AU2:AU1100,0)))))))</f>
        <v>そろそろ焼けたかな？（红薯）</v>
      </c>
      <c r="N13" s="3"/>
      <c r="O13" s="3"/>
      <c r="P13" s="87" t="str">
        <f>IF(路线!B3="感性",INDEX(第二属性比较!A2:A1100,IF(路线!B2="红",MATCH(M24,第二属性比较!AD2:AD1100,0),IF(路线!B2="蓝",MATCH(M25,第二属性比较!AE2:AE1100,0),MATCH(M26,第二属性比较!AF2:AF1100,0)))),IF(路线!B3="理性",INDEX(第二属性比较!A2:A1100,IF(路线!B2="红",MATCH(M24,第二属性比较!AJ2:AJ1100,0),IF(路线!B2="蓝",MATCH(M25,第二属性比较!AK2:AK1100,0),MATCH(M26,第二属性比较!AL2:AL1100,0)))),INDEX(第二属性比较!A2:A1100,IF(路线!B2="红",MATCH(M24,第二属性比较!AP2:AP1100,0),IF(路线!B2="蓝",MATCH(M25,第二属性比较!AQ2:AQ1100,0),MATCH(M26,第二属性比较!AR2:AR1100,0))))))</f>
        <v>利用し合うのが友達！（黄毛摸鱼）</v>
      </c>
      <c r="Q13" s="1"/>
      <c r="R13" s="1"/>
      <c r="S13" s="1"/>
      <c r="T13" s="1"/>
      <c r="U13" s="1"/>
    </row>
    <row r="14" spans="1:21" ht="19" customHeight="1" x14ac:dyDescent="0.3">
      <c r="A14" s="84" t="s">
        <v>343</v>
      </c>
      <c r="B14" s="84">
        <f>IF(路线!B3="感性",LARGE(第三属性比较!L2:L999,1),IF(路线!B3="理性",LARGE(第三属性比较!M2:M999,1),LARGE(第三属性比较!N2:N999,1)))</f>
        <v>181.99996999999999</v>
      </c>
      <c r="C14" s="84">
        <f>IF(路线!B3="感性",LARGE(第三属性比较!L2:L999,2),IF(路线!B3="理性",LARGE(第三属性比较!M2:M999,2),LARGE(第三属性比较!N2:N999,2)))</f>
        <v>171.99986999999999</v>
      </c>
      <c r="D14" s="1"/>
      <c r="E14" s="84">
        <f>IF(路线!B3="感性",LARGE(第三属性比较!AD2:AD999,1),IF(路线!B3="理性",LARGE(第三属性比较!AJ2:AJ999,1),LARGE(第三属性比较!AP2:AP999,1)))</f>
        <v>181.99996999999999</v>
      </c>
      <c r="F14" s="84">
        <f>IF(路线!B3="感性",LARGE(第三属性比较!AD2:AD999,2),IF(路线!B3="理性",LARGE(第三属性比较!AJ2:AJ999,2),LARGE(第三属性比较!AP2:AP999,2)))</f>
        <v>171.99986999999999</v>
      </c>
      <c r="G14" s="84">
        <f>IF(路线!B3="感性",LARGE(第三属性比较!AD2:AD999,3),IF(路线!B3="理性",LARGE(第三属性比较!AJ2:AJ999,3),LARGE(第三属性比较!AP2:AP999,3)))</f>
        <v>168.99951999999999</v>
      </c>
      <c r="H14" s="1"/>
      <c r="I14" s="1"/>
      <c r="J14" s="87">
        <f>IF(AND(A12=G11,D12=D10,G12=A9),IF(路线!B3="感性",INDEX(第二属性比较!A2:A1100,IF(路线!B2="红",IF(路线!C2=3,MATCH(E24,第二属性比较!L2:L1100,0),IF(路线!C2=2,MATCH(F24,第二属性比较!L2:L1100,0),IF(路线!C2=1,MATCH(G24,第二属性比较!L2:L1100,0),MATCH(G28,第二属性比较!L2:L1100,0)))),IF(路线!B2="蓝",IF(路线!C3=3,MATCH(E25,第二属性比较!O2:O1100,0),IF(路线!C3=2,MATCH(F25,第二属性比较!O2:O1100,0),IF(路线!C3=1,MATCH(G25,第二属性比较!O2:O1100,0),MATCH(G29,第二属性比较!O2:O1100,0)))),IF(路线!C4=3,MATCH(E26,第二属性比较!R2:R1100,0),IF(路线!C4=2,MATCH(F26,第二属性比较!R2:R1100,0),IF(路线!C4=1,MATCH(G26,第二属性比较!R2:R1100,0),MATCH(G30,第二属性比较!R2:R1100,0))))))),IF(路线!B3="理性",INDEX(第二属性比较!A2:A1100,IF(路线!B2="红",IF(路线!C2=3,MATCH(E24,第二属性比较!M2:M1100,0),IF(路线!C2=2,MATCH(F24,第二属性比较!M2:M1100,0),IF(路线!C2=1,MATCH(G24,第二属性比较!M2:M1100,0),MATCH(G28,第二属性比较!M2:M1100,0)))),IF(路线!B2="蓝",IF(路线!C3=3,MATCH(E25,第二属性比较!P2:P1100,0),IF(路线!C3=2,MATCH(F25,第二属性比较!P2:P1100,0),IF(路线!C3=1,MATCH(G25,第二属性比较!P2:P1100,0),MATCH(G29,第二属性比较!P2:P1100,0)))),IF(路线!C4=3,MATCH(E26,第二属性比较!S2:S1100,0),IF(路线!C4=2,MATCH(F26,第二属性比较!S2:S1100,0),IF(路线!C4=1,MATCH(G26,第二属性比较!S2:S1100,0),MATCH(G30,第二属性比较!S2:S1100,0))))))),INDEX(第二属性比较!A2:A1100,IF(路线!B2="红",IF(路线!C2=3,MATCH(E24,第二属性比较!N2:N1100,0),IF(路线!C2=2,MATCH(F24,第二属性比较!N2:N1100,0),IF(路线!C2=1,MATCH(G24,第二属性比较!N2:N1100,0),MATCH(G28,第二属性比较!N2:N1100,0)))),IF(路线!B2="蓝",IF(路线!C3=3,MATCH(E25,第二属性比较!Q2:Q1100,0),IF(路线!C3=2,MATCH(F25,第二属性比较!Q2:Q1100,0),IF(路线!C3=1,MATCH(G29,第二属性比较!Q2:Q1100,0),MATCH(G25,第二属性比较!Q2:Q1100,0)))),IF(路线!C4=3,MATCH(E26,第二属性比较!T2:T1100,0),IF(路线!C4=2,MATCH(F26,第二属性比较!T2:T1100,0),IF(路线!C4=1,MATCH(G26,第二属性比较!T2:T1100,0),MATCH(G30,第二属性比较!T2:T1100,0))))))))),0)</f>
        <v>0</v>
      </c>
      <c r="K14" s="1"/>
      <c r="L14" s="1"/>
      <c r="M14" s="87" t="str">
        <f>IF(M13=A9,IF(路线!B2="红",IF(路线!C2=0,P14,INDEX(第二属性比较!A2:A1100,IF(路线!B3="感性",MATCH(S24,第二属性比较!AG2:AG1100,0),IF(路线!B3="理性",MATCH(S24,第二属性比较!AM2:AM1100,0),MATCH(S24,第二属性比较!AS2:AS1100,0))))),IF(路线!B2="蓝",IF(路线!C3=0,P14,INDEX(第二属性比较!A2:A1100,IF(路线!B3="感性",MATCH(S25,第二属性比较!AH2:AH1100,0),IF(路线!B3="理性",MATCH(S25,第二属性比较!AN2:AN1100,0),MATCH(S25,第二属性比较!AT2:AT1100,0))))),IF(路线!C4=0,P14,INDEX(第二属性比较!A2:A1100,IF(路线!B3="感性",MATCH(S26,第二属性比较!AI2:AI1100,0),IF(路线!B3="理性",MATCH(S26,第二属性比较!AO2:AO1100,0),MATCH(S26,第二属性比较!AU2:AU1100,0))))))),M13)</f>
        <v>きゅる～んωポーズッ☆（可爱pose）</v>
      </c>
      <c r="N14" s="3"/>
      <c r="O14" s="3"/>
      <c r="P14" s="87" t="str">
        <f>IF(P13=A9,IF(路线!B3="感性",INDEX(第二属性比较!A2:A1100,IF(路线!B2="红",MATCH(N24,第二属性比较!AD2:AD1100,0),IF(路线!B2="蓝",MATCH(N25,第二属性比较!AE2:AE1100,0),MATCH(N26,第二属性比较!AF2:AF1100,0)))),IF(路线!B3="理性",INDEX(第二属性比较!A2:A1100,IF(路线!B2="红",MATCH(N24,第二属性比较!AJ2:AJ1100,0),IF(路线!B2="蓝",MATCH(N25,第二属性比较!AK2:AK1100,0),MATCH(N26,第二属性比较!AL2:AL1100,0)))),INDEX(第二属性比较!A2:A1100,IF(路线!B2="红",MATCH(N24,第二属性比较!AP2:AP1100,0),IF(路线!B2="蓝",MATCH(N25,第二属性比较!AQ2:AQ1100,0),MATCH(N26,第二属性比较!AR2:AR1100,0)))))),P13)</f>
        <v>利用し合うのが友達！（黄毛摸鱼）</v>
      </c>
      <c r="Q14" s="1"/>
      <c r="R14" s="1"/>
      <c r="S14" s="1"/>
      <c r="T14" s="1"/>
      <c r="U14" s="1"/>
    </row>
    <row r="15" spans="1:21" ht="19" customHeight="1" x14ac:dyDescent="0.3">
      <c r="A15" s="84" t="s">
        <v>162</v>
      </c>
      <c r="B15" s="84">
        <f>IF(路线!B3="感性",LARGE(第三属性比较!O2:O999,1),IF(路线!B3="理性",LARGE(第三属性比较!P2:P999,1),LARGE(第三属性比较!Q2:Q999,1)))</f>
        <v>253.99997999999999</v>
      </c>
      <c r="C15" s="84">
        <f>IF(路线!B3="感性",LARGE(第三属性比较!O2:O999,2),IF(路线!B3="理性",LARGE(第三属性比较!P2:P999,2),LARGE(第三属性比较!Q2:Q999,2)))</f>
        <v>192.99985000000001</v>
      </c>
      <c r="D15" s="1"/>
      <c r="E15" s="84">
        <f>IF(路线!B3="感性",LARGE(第三属性比较!AE2:AE999,1),IF(路线!B3="理性",LARGE(第三属性比较!AK2:AK999,1),LARGE(第三属性比较!AQ2:AQ999,1)))</f>
        <v>253.99997999999999</v>
      </c>
      <c r="F15" s="84">
        <f>IF(路线!B3="感性",LARGE(第三属性比较!AE2:AE999,2),IF(路线!B3="理性",LARGE(第三属性比较!AK2:AK999,2),LARGE(第三属性比较!AQ2:AQ999,2)))</f>
        <v>192.99985000000001</v>
      </c>
      <c r="G15" s="84">
        <f>IF(路线!B3="感性",LARGE(第三属性比较!AE2:AE999,3),IF(路线!B3="理性",LARGE(第三属性比较!AK2:AK999,3),LARGE(第三属性比较!AQ2:AQ999,3)))</f>
        <v>170.99939000000001</v>
      </c>
      <c r="H15" s="1"/>
      <c r="I15" s="1"/>
      <c r="J15" s="87">
        <f>IF(OR(AND(A12=G11,G12=A9),AND(D12=D10,G12=A9)),IF(路线!B3="感性",INDEX(第二属性比较!A2:A1100,IF(路线!B2="红",IF(路线!C2=3,MATCH(D24,第二属性比较!L2:L1100,0),IF(路线!C2=2,MATCH(E24,第二属性比较!L2:L1100,0),IF(路线!C2=1,MATCH(F24,第二属性比较!L2:L1100,0),MATCH(G24,第二属性比较!L2:L1100,0)))),IF(路线!B2="蓝",IF(路线!C3=3,MATCH(D25,第二属性比较!O2:O1100,0),IF(路线!C3=2,MATCH(E25,第二属性比较!O2:O1100,0),IF(路线!C3=1,MATCH(F25,第二属性比较!O2:O1100,0),MATCH(G25,第二属性比较!O2:O1100,0)))),IF(路线!C4=3,MATCH(D26,第二属性比较!R2:R1100,0),IF(路线!C4=2,MATCH(E26,第二属性比较!R2:R1100,0),IF(路线!C4=1,MATCH(F26,第二属性比较!R2:R1100,0),MATCH(G26,第二属性比较!R2:R1100,0))))))),IF(路线!B3="理性",INDEX(第二属性比较!A2:A1100,IF(路线!B2="红",IF(路线!C2=3,MATCH(D24,第二属性比较!M2:M1100,0),IF(路线!C2=2,MATCH(E24,第二属性比较!M2:M1100,0),IF(路线!C2=1,MATCH(F24,第二属性比较!M2:M1100,0),MATCH(G24,第二属性比较!M2:M1100,0)))),IF(路线!B2="蓝",IF(路线!C3=3,MATCH(D25,第二属性比较!P2:P1100,0),IF(路线!C3=2,MATCH(E25,第二属性比较!P2:P1100,0),IF(路线!C3=1,MATCH(F25,第二属性比较!P2:P1100,0),MATCH(G25,第二属性比较!P2:P1100,0)))),IF(路线!C4=3,MATCH(D26,第二属性比较!S2:S1100,0),IF(路线!C4=2,MATCH(E26,第二属性比较!S2:S1100,0),IF(路线!C4=1,MATCH(F26,第二属性比较!S2:S1100,0),MATCH(G26,第二属性比较!S2:S1100,0))))))),INDEX(第二属性比较!A2:A1100,IF(路线!B2="红",IF(路线!C2=3,MATCH(D24,第二属性比较!N2:N1100,0),IF(路线!C2=2,MATCH(E24,第二属性比较!N2:N1100,0),IF(路线!C2=1,MATCH(F24,第二属性比较!N2:N1100,0),MATCH(G24,第二属性比较!N2:N1100,0)))),IF(路线!B2="蓝",IF(路线!C3=3,MATCH(D25,第二属性比较!Q2:Q1100,0),IF(路线!C3=2,MATCH(E25,第二属性比较!Q2:Q1100,0),IF(路线!C3=1,MATCH(F25,第二属性比较!Q2:Q1100,0),MATCH(G25,第二属性比较!Q2:Q1100,0)))),IF(路线!C4=3,MATCH(D26,第二属性比较!T2:T1100,0),IF(路线!C4=2,MATCH(E26,第二属性比较!T2:T1100,0),IF(路线!C4=1,MATCH(F26,第二属性比较!T2:T1100,0),MATCH(G26,第二属性比较!T2:T1100,0))))))))),0)</f>
        <v>0</v>
      </c>
      <c r="K15" s="1"/>
      <c r="L15" s="1"/>
      <c r="M15" s="87" t="str">
        <f>IF(AND(M14=D10,M13=A9),IF(路线!B2="红",IF(路线!C2=0,P15,INDEX(第二属性比较!A2:A1100,IF(路线!B3="感性",MATCH(T24,第二属性比较!AG2:AG1100,0),IF(路线!B3="理性",MATCH(T24,第二属性比较!AM2:AM1100,0),MATCH(T24,第二属性比较!AS2:AS1100,0))))),IF(路线!B2="蓝",IF(路线!C3=0,P15,INDEX(第二属性比较!A2:A1100,IF(路线!B3="感性",MATCH(T25,第二属性比较!AH2:AH1100,0),IF(路线!B3="理性",MATCH(T25,第二属性比较!AN2:AN1100,0),MATCH(T25,第二属性比较!AT2:AT1100,0))))),IF(路线!C4=0,P15,INDEX(第二属性比较!A2:A1100,IF(路线!B3="感性",MATCH(T26,第二属性比较!AI2:AI1100,0),IF(路线!B3="理性",MATCH(T26,第二属性比较!AO2:AO1100,0),MATCH(T26,第二属性比较!AU2:AU1100,0))))))),IF(M14=D10,IF(路线!B2="红",IF(路线!C2=0,P15,INDEX(第二属性比较!A2:A1100,IF(路线!B3="感性",MATCH(S24,第二属性比较!AG2:AG1100,0),IF(路线!B3="理性",MATCH(S24,第二属性比较!AM2:AM1100,0),MATCH(S24,第二属性比较!AS2:AS1100,0))))),IF(路线!B2="蓝",IF(路线!C3=0,P15,INDEX(第二属性比较!A2:A1100,IF(路线!B3="感性",MATCH(S25,第二属性比较!AH2:AH1100,0),IF(路线!B3="理性",MATCH(S25,第二属性比较!AN2:AN1100,0),MATCH(S25,第二属性比较!AT2:AT1100,0))))),IF(路线!C4=0,P15,INDEX(第二属性比较!A2:A1100,IF(路线!B3="感性",MATCH(S26,第二属性比较!AI2:AI1100,0),IF(路线!B3="理性",MATCH(S26,第二属性比较!AO2:AO1100,0),MATCH(S26,第二属性比较!AU2:AU1100,0))))))),M14))</f>
        <v>きゅる～んωポーズッ☆（可爱pose）</v>
      </c>
      <c r="N15" s="3"/>
      <c r="O15" s="3"/>
      <c r="P15" s="87" t="str">
        <f>IF(AND(P13=A9,P14=D10),IF(路线!B3="感性",INDEX(第二属性比较!A2:A1100,IF(路线!B2="红",MATCH(O24,第二属性比较!AD2:AD1100,0),IF(路线!B2="蓝",MATCH(O25,第二属性比较!AE2:AE1100,0),MATCH(O26,第二属性比较!AF2:AF1100,0)))),IF(路线!B3="理性",INDEX(第二属性比较!A2:A1100,IF(路线!B2="红",MATCH(O24,第二属性比较!AJ2:AJ1100,0),IF(路线!B2="蓝",MATCH(O25,第二属性比较!AK2:AK1100,0),MATCH(O26,第二属性比较!AL2:AL1100,0)))),INDEX(第二属性比较!A2:A1100,IF(路线!B2="红",MATCH(O24,第二属性比较!AP2:AP1100,0),IF(路线!B2="蓝",MATCH(O25,第二属性比较!AQ2:AQ1100,0),MATCH(O26,第二属性比较!AR2:AR1100,0)))))),IF(P14=D10,IF(路线!B3="感性",INDEX(第二属性比较!A2:A1100,IF(路线!B2="红",MATCH(N24,第二属性比较!AD2:AD1100,0),IF(路线!B2="蓝",MATCH(N25,第二属性比较!AE2:AE1100,0),MATCH(N26,第二属性比较!AF2:AF1100,0)))),IF(路线!B3="理性",INDEX(第二属性比较!A2:A1100,IF(路线!B2="红",MATCH(N24,第二属性比较!AJ2:AJ1100,0),IF(路线!B2="蓝",MATCH(N25,第二属性比较!AK2:AK1100,0),MATCH(N26,第二属性比较!AL2:AL1100,0)))),INDEX(第二属性比较!A2:A1100,IF(路线!B2="红",MATCH(N24,第二属性比较!AP2:AP1100,0),IF(路线!B2="蓝",MATCH(N25,第二属性比较!AQ2:AQ1100,0),MATCH(N26,第二属性比较!AR2:AR1100,0)))))),P14))</f>
        <v>千奈の恩返し（恩返）</v>
      </c>
      <c r="Q15" s="1"/>
      <c r="R15" s="1"/>
      <c r="S15" s="1"/>
      <c r="T15" s="1"/>
      <c r="U15" s="1"/>
    </row>
    <row r="16" spans="1:21" ht="19" customHeight="1" x14ac:dyDescent="0.3">
      <c r="A16" s="84" t="s">
        <v>154</v>
      </c>
      <c r="B16" s="84">
        <f>IF(路线!B3="感性",LARGE(第三属性比较!R2:R999,1),IF(路线!B3="理性",LARGE(第三属性比较!S2:S999,1),LARGE(第三属性比较!T2:T999,1)))</f>
        <v>245.99891</v>
      </c>
      <c r="C16" s="84">
        <f>IF(路线!B3="感性",LARGE(第三属性比较!R2:R999,2),IF(路线!B3="理性",LARGE(第三属性比较!S2:S999,2),LARGE(第三属性比较!T2:T999,2)))</f>
        <v>204.99991</v>
      </c>
      <c r="D16" s="1"/>
      <c r="E16" s="84">
        <f>IF(路线!B3="感性",LARGE(第三属性比较!AF2:AF999,1),IF(路线!B3="理性",LARGE(第三属性比较!AL2:AL999,1),LARGE(第三属性比较!AR2:AR999,1)))</f>
        <v>245.99891</v>
      </c>
      <c r="F16" s="84">
        <f>IF(路线!B3="感性",LARGE(第三属性比较!AF2:AF999,2),IF(路线!B3="理性",LARGE(第三属性比较!AL2:AL999,2),LARGE(第三属性比较!AR2:AR999,2)))</f>
        <v>204.99991</v>
      </c>
      <c r="G16" s="84">
        <f>IF(路线!B3="感性",LARGE(第三属性比较!AF2:AF999,3),IF(路线!B3="理性",LARGE(第三属性比较!AL2:AL999,3),LARGE(第三属性比较!AR2:AR999,3)))</f>
        <v>179.99973</v>
      </c>
      <c r="H16" s="1"/>
      <c r="I16" s="1"/>
      <c r="J16" s="87" t="str">
        <f>IF(G12=A9,IF(路线!B3="感性",INDEX(第二属性比较!A2:A1100,IF(路线!B2="红",IF(路线!C2=3,MATCH(C24,第二属性比较!L2:L1100,0),IF(路线!C2=2,MATCH(D24,第二属性比较!L2:L1100,0),IF(路线!C2=1,MATCH(E24,第二属性比较!L2:L1100,0),MATCH(F24,第二属性比较!L2:L1100,0)))),IF(路线!B2="蓝",IF(路线!C3=3,MATCH(C25,第二属性比较!O2:O1100,0),IF(路线!C3=2,MATCH(D25,第二属性比较!O2:O1100,0),IF(路线!C3=1,MATCH(E25,第二属性比较!O2:O1100,0),MATCH(F25,第二属性比较!O2:O1100,0)))),IF(路线!C4=3,MATCH(C26,第二属性比较!R2:R1100,0),IF(路线!C4=2,MATCH(D26,第二属性比较!R2:R1100,0),IF(路线!C4=1,MATCH(E26,第二属性比较!R2:R1100,0),MATCH(F26,第二属性比较!R2:R1100,0))))))),IF(路线!B3="理性",INDEX(第二属性比较!A2:A1100,IF(路线!B2="红",IF(路线!C2=3,MATCH(C24,第二属性比较!M2:M1100,0),IF(路线!C2=2,MATCH(D24,第二属性比较!M2:M1100,0),IF(路线!C2=1,MATCH(E24,第二属性比较!M2:M1100,0),MATCH(F24,第二属性比较!M2:M1100,0)))),IF(路线!B2="蓝",IF(路线!C3=3,MATCH(C25,第二属性比较!P2:P1100,0),IF(路线!C3=2,MATCH(D25,第二属性比较!P2:P1100,0),IF(路线!C3=1,MATCH(E25,第二属性比较!P2:P1100,0),MATCH(F25,第二属性比较!P2:P1100,0)))),IF(路线!C4=3,MATCH(C26,第二属性比较!S2:S1100,0),IF(路线!C4=2,MATCH(D26,第二属性比较!S2:S1100,0),IF(路线!C4=1,MATCH(E26,第二属性比较!S2:S1100,0),MATCH(F26,第二属性比较!S2:S1100,0))))))),INDEX(第二属性比较!A2:A1100,IF(路线!B2="红",IF(路线!C2=3,MATCH(C24,第二属性比较!N2:N1100,0),IF(路线!C2=2,MATCH(D24,第二属性比较!N2:N1100,0),IF(路线!C2=1,MATCH(E24,第二属性比较!N2:N1100,0),MATCH(F24,第二属性比较!N2:N1100,0)))),IF(路线!B2="蓝",IF(路线!C3=3,MATCH(C25,第二属性比较!Q2:Q1100,0),IF(路线!C3=2,MATCH(D25,第二属性比较!Q2:Q1100,0),IF(路线!C3=1,MATCH(E25,第二属性比较!Q2:Q1100,0),MATCH(F25,第二属性比较!Q2:Q1100,0)))),IF(路线!C4=3,MATCH(C26,第二属性比较!T2:T1100,0),IF(路线!C4=2,MATCH(D26,第二属性比较!T2:T1100,0),IF(路线!C4=1,MATCH(E26,第二属性比较!T2:T1100,0),MATCH(F26,第二属性比较!T2:T1100,0))))))))),0)</f>
        <v>夏を満喫するわよ！（水枪）</v>
      </c>
      <c r="K16" s="1"/>
      <c r="L16" s="1"/>
      <c r="M16" s="87" t="str">
        <f>IF(AND(M15=J11,M14=D10,M13=A9),IF(路线!B2="红",IF(路线!C2=0,P16,INDEX(第二属性比较!A2:A1100,IF(路线!B3="感性",MATCH(U24,第二属性比较!AG2:AG1100,0),IF(路线!B3="理性",MATCH(U24,第二属性比较!AM2:AM1100,0),MATCH(U24,第二属性比较!AS2:AS1100,0))))),IF(路线!B2="蓝",IF(路线!C3=0,P16,INDEX(第二属性比较!A2:A1100,IF(路线!B3="感性",MATCH(U25,第二属性比较!AH2:AH1100,0),IF(路线!B3="理性",MATCH(U25,第二属性比较!AN2:AN1100,0),MATCH(U25,第二属性比较!AT2:AT1100,0))))),IF(路线!C4=0,P16,INDEX(第二属性比较!A2:A1100,IF(路线!B3="感性",MATCH(U26,第二属性比较!AI2:AI1100,0),IF(路线!B3="理性",MATCH(U26,第二属性比较!AO2:AO1100,0),MATCH(U26,第二属性比较!AU2:AU1100,0))))))),IF(OR(AND(M15=J11,M14=D10),AND(M15=J11,M13=A9)),IF(路线!B2="红",IF(路线!C2=0,P16,INDEX(第二属性比较!A2:A1100,IF(路线!B3="感性",MATCH(T24,第二属性比较!AG2:AG1100,0),IF(路线!B3="理性",MATCH(T24,第二属性比较!AM2:AM1100,0),MATCH(T24,第二属性比较!AS2:AS1100,0))))),IF(路线!B2="蓝",IF(路线!C3=0,P16,INDEX(第二属性比较!A2:A1100,IF(路线!B3="感性",MATCH(T25,第二属性比较!AH2:AH1100,0),IF(路线!B3="理性",MATCH(T25,第二属性比较!AN2:AN1100,0),MATCH(T25,第二属性比较!AT2:AT1100,0))))),IF(路线!C4=0,P16,INDEX(第二属性比较!A2:A1100,IF(路线!B3="感性",MATCH(T26,第二属性比较!AI2:AI1100,0),IF(路线!B3="理性",MATCH(T26,第二属性比较!AO2:AO1100,0),MATCH(T26,第二属性比较!AU2:AU1100,0))))))),IF(M15=J11,IF(路线!B2="红",IF(路线!C2=0,P16,INDEX(第二属性比较!A2:A1100,IF(路线!B3="感性",MATCH(S24,第二属性比较!AG2:AG1100,0),IF(路线!B3="理性",MATCH(S24,第二属性比较!AM2:AM1100,0),MATCH(S24,第二属性比较!AS2:AS1100,0))))),IF(路线!B2="蓝",IF(路线!C3=0,P16,INDEX(第二属性比较!A2:A1100,IF(路线!B3="感性",MATCH(S25,第二属性比较!AH2:AH1100,0),IF(路线!B3="理性",MATCH(S25,第二属性比较!AN2:AN1100,0),MATCH(S25,第二属性比较!AT2:AT1100,0))))),IF(路线!C4=0,P16,INDEX(第二属性比较!A2:A1100,IF(路线!B3="感性",MATCH(S26,第二属性比较!AI2:AI1100,0),IF(路线!B3="理性",MATCH(S26,第二属性比较!AO2:AO1100,0),MATCH(S26,第二属性比较!AU2:AU1100,0))))))),M15)))</f>
        <v>きゅる～んωポーズッ☆（可爱pose）</v>
      </c>
      <c r="N16" s="3"/>
      <c r="O16" s="3"/>
      <c r="P16" s="87" t="str">
        <f>IF(AND(P13=A9,P14=D10,P15=J11),IF(路线!B3="感性",INDEX(第二属性比较!A2:A1100,IF(路线!B2="红",MATCH(P24,第二属性比较!AD2:AD1100,0),IF(路线!B2="蓝",MATCH(P25,第二属性比较!AE2:AE1100,0),MATCH(P26,第二属性比较!AF2:AF1100,0)))),IF(路线!B3="理性",INDEX(第二属性比较!A2:A1100,IF(路线!B2="红",MATCH(P24,第二属性比较!AJ2:AJ1100,0),IF(路线!B2="蓝",MATCH(P25,第二属性比较!AK2:AK1100,0),MATCH(P26,第二属性比较!AL2:AL1100,0)))),INDEX(第二属性比较!A2:A1100,IF(路线!B2="红",MATCH(P24,第二属性比较!AP2:AP1100,0),IF(路线!B2="蓝",MATCH(P25,第二属性比较!AQ2:AQ1100,0),MATCH(P26,第二属性比较!AR2:AR1100,0)))))),IF(OR(AND(P13=A9,P15=J11),AND(P14=D10,P15=J11)),IF(路线!B3="感性",INDEX(第二属性比较!A2:A1100,IF(路线!B2="红",MATCH(O24,第二属性比较!AD2:AD1100,0),IF(路线!B2="蓝",MATCH(O25,第二属性比较!AE2:AE1100,0),MATCH(O26,第二属性比较!AF2:AF1100,0)))),IF(路线!B3="理性",INDEX(第二属性比较!A2:A1100,IF(路线!B2="红",MATCH(O24,第二属性比较!AJ2:AJ1100,0),IF(路线!B2="蓝",MATCH(O25,第二属性比较!AK2:AK1100,0),MATCH(O26,第二属性比较!AL2:AL1100,0)))),INDEX(第二属性比较!A2:A1100,IF(路线!B2="红",MATCH(O24,第二属性比较!AP2:AP1100,0),IF(路线!B2="蓝",MATCH(O25,第二属性比较!AQ2:AQ1100,0),MATCH(O26,第二属性比较!AR2:AR1100,0)))))),IF(P15=J11,IF(路线!B3="感性",INDEX(第二属性比较!A2:A1100,IF(路线!B2="红",MATCH(N24,第二属性比较!AD2:AD1100,0),IF(路线!B2="蓝",MATCH(N25,第二属性比较!AE2:AE1100,0),MATCH(N26,第二属性比较!AF2:AF1100,0)))),IF(路线!B3="理性",INDEX(第二属性比较!A2:A1100,IF(路线!B2="红",MATCH(N24,第二属性比较!AJ2:AJ1100,0),IF(路线!B2="蓝",MATCH(N25,第二属性比较!AK2:AK1100,0),MATCH(N26,第二属性比较!AL2:AL1100,0)))),INDEX(第二属性比较!A2:A1100,IF(路线!B2="红",MATCH(N24,第二属性比较!AP2:AP1100,0),IF(路线!B2="蓝",MATCH(N25,第二属性比较!AQ2:AQ1100,0),MATCH(N26,第二属性比较!AR2:AR1100,0)))))),P15)))</f>
        <v>夏を満喫するわよ！（水枪）</v>
      </c>
      <c r="Q16" s="1"/>
      <c r="R16" s="1"/>
      <c r="S16" s="1"/>
      <c r="T16" s="1"/>
      <c r="U16" s="1"/>
    </row>
    <row r="17" spans="1:21" ht="19" customHeight="1" x14ac:dyDescent="0.3">
      <c r="A17" s="1"/>
      <c r="B17" s="1"/>
      <c r="C17" s="1"/>
      <c r="D17" s="1"/>
      <c r="E17" s="1"/>
      <c r="F17" s="1"/>
      <c r="G17" s="1"/>
      <c r="H17" s="1"/>
      <c r="I17" s="1"/>
      <c r="J17" s="1"/>
      <c r="K17" s="1"/>
      <c r="L17" s="1"/>
      <c r="M17" s="3"/>
      <c r="N17" s="3"/>
      <c r="O17" s="3"/>
      <c r="P17" s="87" t="str">
        <f>IF(AND(P16=J12,P15=J11,P14=D10,P13=A9),IF(路线!B3="感性",INDEX(第二属性比较!A2:A1100,IF(路线!B2="红",MATCH(Q24,第二属性比较!AD2:AD1100,0),IF(路线!B2="蓝",MATCH(Q25,第二属性比较!AE2:AE1100,0),MATCH(Q26,第二属性比较!AF2:AF1100,0)))),IF(路线!B3="理性",INDEX(第二属性比较!A2:A1100,IF(路线!B2="红",MATCH(Q24,第二属性比较!AJ2:AJ1100,0),IF(路线!B2="蓝",MATCH(Q25,第二属性比较!AK2:AK1100,0),MATCH(Q26,第二属性比较!AL2:AL1100,0)))),INDEX(第二属性比较!A2:A1100,IF(路线!B2="红",MATCH(Q24,第二属性比较!AP2:AP1100,0),IF(路线!B2="蓝",MATCH(Q25,第二属性比较!AQ2:AQ1100,0),MATCH(Q26,第二属性比较!AR2:AR1100,0)))))),IF(OR(AND(P16=J12,P15=J11,P14=D10),AND(P16=J12,P15=J11,P13=A9),AND(P16=J12,P14=D10,P13=A9)),IF(路线!B3="感性",INDEX(第二属性比较!A2:A1100,IF(路线!B2="红",MATCH(P24,第二属性比较!AD2:AD1100,0),IF(路线!B2="蓝",MATCH(P25,第二属性比较!AE2:AE1100,0),MATCH(P26,第二属性比较!AF2:AF1100,0)))),IF(路线!B3="理性",INDEX(第二属性比较!A2:A1100,IF(路线!B2="红",MATCH(P24,第二属性比较!AJ2:AJ1100,0),IF(路线!B2="蓝",MATCH(P25,第二属性比较!AK2:AK1100,0),MATCH(P26,第二属性比较!AL2:AL1100,0)))),INDEX(第二属性比较!A2:A1100,IF(路线!B2="红",MATCH(P24,第二属性比较!AP2:AP1100,0),IF(路线!B2="蓝",MATCH(P25,第二属性比较!AQ2:AQ1100,0),MATCH(P26,第二属性比较!AR2:AR1100,0)))))),IF(OR(AND(P16=J12,P15=J11),AND(P16=J12,P14=D10),AND(P16=J12,P13=A9)),IF(路线!B3="感性",INDEX(第二属性比较!A2:A1100,IF(路线!B2="红",MATCH(O24,第二属性比较!AD2:AD1100,0),IF(路线!B2="蓝",MATCH(O25,第二属性比较!AE2:AE1100,0),MATCH(O26,第二属性比较!AF2:AF1100,0)))),IF(路线!B3="理性",INDEX(第二属性比较!A2:A1100,IF(路线!B2="红",MATCH(O24,第二属性比较!AJ2:AJ1100,0),IF(路线!B2="蓝",MATCH(O25,第二属性比较!AK2:AK1100,0),MATCH(O26,第二属性比较!AL2:AL1100,0)))),INDEX(第二属性比较!A2:A1100,IF(路线!B2="红",MATCH(O24,第二属性比较!AP2:AP1100,0),IF(路线!B2="蓝",MATCH(O25,第二属性比较!AQ2:AQ1100,0),MATCH(O26,第二属性比较!AR2:AR1100,0)))))),IF(P16=J12,IF(路线!B3="感性",INDEX(第二属性比较!A2:A1100,IF(路线!B2="红",MATCH(N24,第二属性比较!AD2:AD1100,0),IF(路线!B2="蓝",MATCH(N25,第二属性比较!AE2:AE1100,0),MATCH(N26,第二属性比较!AF2:AF1100,0)))),IF(路线!B3="理性",INDEX(第二属性比较!A2:A1100,IF(路线!B2="红",MATCH(N24,第二属性比较!AJ2:AJ1100,0),IF(路线!B2="蓝",MATCH(N25,第二属性比较!AK2:AK1100,0),MATCH(N26,第二属性比较!AL2:AL1100,0)))),INDEX(第二属性比较!A2:A1100,IF(路线!B2="红",MATCH(N24,第二属性比较!AP2:AP1100,0),IF(路线!B2="蓝",MATCH(N25,第二属性比较!AQ2:AQ1100,0),MATCH(N26,第二属性比较!AR2:AR1100,0)))))),P16))))</f>
        <v>これが私達の、3年間（蓝书签）</v>
      </c>
      <c r="Q17" s="1"/>
      <c r="R17" s="1"/>
      <c r="S17" s="1"/>
      <c r="T17" s="1"/>
      <c r="U17" s="1"/>
    </row>
    <row r="18" spans="1:21" ht="19" customHeight="1" x14ac:dyDescent="0.3">
      <c r="A18" s="84" t="str">
        <f>IF(路线!B3="感性",INDEX(第三属性比较!A2:A999,IF(OR(AND(路线!B1="红",路线!B2="蓝"),AND(路线!B1="蓝",路线!B2="红")),MATCH(B16,第三属性比较!R2:R999,0),IF(OR(AND(路线!B1="黄",路线!B2="蓝"),AND(路线!B1="蓝",路线!B2="黄")),MATCH(B14,第三属性比较!L2:L999,0),MATCH(B15,第三属性比较!O2:O999,0)))),IF(路线!B3="理性",INDEX(第三属性比较!A2:A999,IF(OR(AND(路线!B1="红",路线!B2="蓝"),AND(路线!B1="蓝",路线!B2="红")),MATCH(B16,第三属性比较!S2:S999,0),IF(OR(AND(路线!B1="黄",路线!B2="蓝"),AND(路线!B1="蓝",路线!B2="黄")),MATCH(B14,第三属性比较!M2:M999,0),MATCH(B15,第三属性比较!P2:P999,0)))),INDEX(第三属性比较!A2:A999,IF(OR(AND(路线!B1="红",路线!B2="蓝"),AND(路线!B1="蓝",路线!B2="红")),MATCH(B16,第三属性比较!T2:T999,0),IF(OR(AND(路线!B1="黄",路线!B2="蓝"),AND(路线!B1="蓝",路线!B2="黄")),MATCH(B14,第三属性比较!N2:N999,0),MATCH(B15,第三属性比较!Q2:Q999,0))))))</f>
        <v>2名様、ご案内～♪（毛球偷吃）</v>
      </c>
      <c r="B18" s="1"/>
      <c r="C18" s="1"/>
      <c r="D18" s="84" t="s">
        <v>349</v>
      </c>
      <c r="E18" s="1"/>
      <c r="F18" s="1"/>
      <c r="G18" s="1"/>
      <c r="H18" s="1"/>
      <c r="I18" s="1"/>
      <c r="J18" s="1"/>
      <c r="K18" s="1"/>
      <c r="L18" s="1"/>
      <c r="M18" s="1"/>
      <c r="N18" s="1"/>
      <c r="O18" s="1"/>
      <c r="P18" s="1"/>
      <c r="Q18" s="1"/>
      <c r="R18" s="1"/>
      <c r="S18" s="1"/>
      <c r="T18" s="1"/>
      <c r="U18" s="1"/>
    </row>
    <row r="19" spans="1:21" ht="19" customHeight="1" x14ac:dyDescent="0.3">
      <c r="A19" s="84" t="str">
        <f>IF(路线!B3="感性",INDEX(第三属性比较!A2:A999,IF(OR(AND(路线!B1="红",路线!B2="蓝"),AND(路线!B1="蓝",路线!B2="红")),MATCH(C16,第三属性比较!R2:R999,0),IF(OR(AND(路线!B1="黄",路线!B2="蓝"),AND(路线!B1="蓝",路线!B2="黄")),MATCH(C14,第三属性比较!L2:L999,0),MATCH(C15,第三属性比较!O2:O999,0)))),IF(路线!B3="理性",INDEX(第三属性比较!A2:A999,IF(OR(AND(路线!B1="红",路线!B2="蓝"),AND(路线!B1="蓝",路线!B2="红")),MATCH(C16,第三属性比较!S2:S999,0),IF(OR(AND(路线!B1="黄",路线!B2="蓝"),AND(路线!B1="蓝",路线!B2="黄")),MATCH(C14,第三属性比较!M2:M999,0),MATCH(C15,第三属性比较!P2:P999,0)))),INDEX(第三属性比较!A2:A999,IF(OR(AND(路线!B1="红",路线!B2="蓝"),AND(路线!B1="蓝",路线!B2="红")),MATCH(C16,第三属性比较!T2:T999,0),IF(OR(AND(路线!B1="黄",路线!B2="蓝"),AND(路线!B1="蓝",路线!B2="黄")),MATCH(C14,第三属性比较!N2:N999,0),MATCH(C15,第三属性比较!Q2:Q999,0))))))</f>
        <v>屈辱の2位（马给马给）</v>
      </c>
      <c r="B19" s="1"/>
      <c r="C19" s="1"/>
      <c r="D19" s="84" t="str">
        <f>IF(路线!B3="感性",INDEX(第三属性比较!A2:A999,IF(OR(AND(路线!B1="红",路线!B2="蓝"),AND(路线!B1="蓝",路线!B2="红")),MATCH(E16,第三属性比较!AF2:AF999,0),IF(OR(AND(路线!B1="黄",路线!B2="蓝"),AND(路线!B1="蓝",路线!B2="黄")),MATCH(E14,第三属性比较!AD2:AD999,0),MATCH(E15,第三属性比较!AE2:AE999,0)))),IF(路线!B3="理性",INDEX(第三属性比较!A2:A999,IF(OR(AND(路线!B1="红",路线!B2="蓝"),AND(路线!B1="蓝",路线!B2="红")),MATCH(E16,第三属性比较!AL2:AL999,0),IF(OR(AND(路线!B1="黄",路线!B2="蓝"),AND(路线!B1="蓝",路线!B2="黄")),MATCH(E14,第三属性比较!AJ2:AJ999,0),MATCH(E15,第三属性比较!AK2:AK999,0)))),INDEX(第三属性比较!A2:A999,IF(OR(AND(路线!B1="红",路线!B2="蓝"),AND(路线!B1="蓝",路线!B2="红")),MATCH(E16,第三属性比较!AR2:AR999,0),IF(OR(AND(路线!B1="黄",路线!B2="蓝"),AND(路线!B1="蓝",路线!B2="黄")),MATCH(E14,第三属性比较!AP2:AP999,0),MATCH(E15,第三属性比较!AQ2:AQ999,0))))))</f>
        <v>2名様、ご案内～♪（毛球偷吃）</v>
      </c>
      <c r="E19" s="1"/>
      <c r="F19" s="1"/>
      <c r="G19" s="1"/>
      <c r="H19" s="1"/>
      <c r="I19" s="1"/>
      <c r="J19" s="1"/>
      <c r="K19" s="1"/>
      <c r="L19" s="1"/>
      <c r="M19" s="1"/>
      <c r="N19" s="1"/>
      <c r="O19" s="1"/>
      <c r="P19" s="1"/>
      <c r="Q19" s="1"/>
      <c r="R19" s="1"/>
      <c r="S19" s="1"/>
      <c r="T19" s="1"/>
      <c r="U19" s="1"/>
    </row>
    <row r="20" spans="1:21" ht="19" customHeight="1" x14ac:dyDescent="0.3">
      <c r="A20" s="1"/>
      <c r="B20" s="1"/>
      <c r="C20" s="1"/>
      <c r="D20" s="84" t="str">
        <f>IF(D19=A18,IF(路线!B3="感性",INDEX(第三属性比较!A2:A999,IF(OR(AND(路线!B1="红",路线!B2="蓝"),AND(路线!B1="蓝",路线!B2="红")),MATCH(F16,第三属性比较!AF2:AF999,0),IF(OR(AND(路线!B1="黄",路线!B2="蓝"),AND(路线!B1="蓝",路线!B2="黄")),MATCH(F14,第三属性比较!AD2:AD999,0),MATCH(F15,第三属性比较!AE2:AE999,0)))),IF(路线!B3="理性",INDEX(第三属性比较!A2:A999,IF(OR(AND(路线!B1="红",路线!B2="蓝"),AND(路线!B1="蓝",路线!B2="红")),MATCH(F16,第三属性比较!AL2:AL999,0),IF(OR(AND(路线!B1="黄",路线!B2="蓝"),AND(路线!B1="蓝",路线!B2="黄")),MATCH(F14,第三属性比较!AJ2:AJ999,0),MATCH(F15,第三属性比较!AK2:AK999,0)))),INDEX(第三属性比较!A2:A999,IF(OR(AND(路线!B1="红",路线!B2="蓝"),AND(路线!B1="蓝",路线!B2="红")),MATCH(F16,第三属性比较!AR2:AR999,0),IF(OR(AND(路线!B1="黄",路线!B2="蓝"),AND(路线!B1="蓝",路线!B2="黄")),MATCH(F14,第三属性比较!AP2:AP999,0),MATCH(F15,第三属性比较!AQ2:AQ999,0)))))),D19)</f>
        <v>屈辱の2位（马给马给）</v>
      </c>
      <c r="E20" s="1"/>
      <c r="F20" s="1"/>
      <c r="G20" s="1"/>
      <c r="H20" s="1"/>
      <c r="I20" s="1"/>
      <c r="J20" s="1"/>
      <c r="K20" s="1"/>
      <c r="L20" s="1"/>
      <c r="M20" s="1"/>
      <c r="N20" s="1"/>
      <c r="O20" s="1"/>
      <c r="P20" s="1"/>
      <c r="Q20" s="1"/>
      <c r="R20" s="1"/>
      <c r="S20" s="1"/>
      <c r="T20" s="1"/>
      <c r="U20" s="1"/>
    </row>
    <row r="21" spans="1:21" ht="19" customHeight="1" x14ac:dyDescent="0.3">
      <c r="A21" s="1"/>
      <c r="B21" s="1"/>
      <c r="C21" s="1"/>
      <c r="D21" s="84" t="str">
        <f>IF(AND(D20=A19,D19=A18),IF(路线!B3="感性",INDEX(第三属性比较!A2:A999,IF(OR(AND(路线!B1="红",路线!B2="蓝"),AND(路线!B1="蓝",路线!B2="红")),MATCH(G16,第三属性比较!AF2:AF999,0),IF(OR(AND(路线!B1="黄",路线!B2="蓝"),AND(路线!B1="蓝",路线!B2="黄")),MATCH(G14,第三属性比较!AD2:AD999,0),MATCH(G15,第三属性比较!AE2:AE999,0)))),IF(路线!B3="理性",INDEX(第三属性比较!A2:A999,IF(OR(AND(路线!B1="红",路线!B2="蓝"),AND(路线!B1="蓝",路线!B2="红")),MATCH(G16,第三属性比较!AL2:AL999,0),IF(OR(AND(路线!B1="黄",路线!B2="蓝"),AND(路线!B1="蓝",路线!B2="黄")),MATCH(G14,第三属性比较!AJ2:AJ999,0),MATCH(G15,第三属性比较!AK2:AK999,0)))),INDEX(第三属性比较!A2:A999,IF(OR(AND(路线!B1="红",路线!B2="蓝"),AND(路线!B1="蓝",路线!B2="红")),MATCH(G16,第三属性比较!AR2:AR999,0),IF(OR(AND(路线!B1="黄",路线!B2="蓝"),AND(路线!B1="蓝",路线!B2="黄")),MATCH(G14,第三属性比较!AP2:AP999,0),MATCH(G15,第三属性比较!AQ2:AQ999,0)))))),IF(D20=A19,IF(路线!B3="感性",INDEX(第三属性比较!A2:A999,IF(OR(AND(路线!B1="红",路线!B2="蓝"),AND(路线!B1="蓝",路线!B2="红")),MATCH(F16,第三属性比较!AF2:AF999,0),IF(OR(AND(路线!B1="黄",路线!B2="蓝"),AND(路线!B1="蓝",路线!B2="黄")),MATCH(F14,第三属性比较!AD2:AD999,0),MATCH(F15,第三属性比较!AE2:AE999,0)))),IF(路线!B3="理性",INDEX(第三属性比较!A2:A999,IF(OR(AND(路线!B1="红",路线!B2="蓝"),AND(路线!B1="蓝",路线!B2="红")),MATCH(F16,第三属性比较!AL2:AL999,0),IF(OR(AND(路线!B1="黄",路线!B2="蓝"),AND(路线!B1="蓝",路线!B2="黄")),MATCH(F14,第三属性比较!AJ2:AJ999,0),MATCH(F15,第三属性比较!AK2:AK999,0)))),INDEX(第三属性比较!A2:A999,IF(OR(AND(路线!B1="红",路线!B2="蓝"),AND(路线!B1="蓝",路线!B2="红")),MATCH(F16,第三属性比较!AR2:AR999,0),IF(OR(AND(路线!B1="黄",路线!B2="蓝"),AND(路线!B1="蓝",路线!B2="黄")),MATCH(F14,第三属性比较!AP2:AP999,0),MATCH(F15,第三属性比较!AQ2:AQ999,0)))))),D20))</f>
        <v>海、楽しまなきゃ！（sr红睡）</v>
      </c>
      <c r="E21" s="1"/>
      <c r="F21" s="1"/>
      <c r="G21" s="1"/>
      <c r="H21" s="1"/>
      <c r="I21" s="1"/>
      <c r="J21" s="1"/>
      <c r="K21" s="1"/>
      <c r="L21" s="1"/>
      <c r="M21" s="1"/>
      <c r="N21" s="1"/>
      <c r="O21" s="1"/>
      <c r="P21" s="1"/>
      <c r="Q21" s="1"/>
      <c r="R21" s="1"/>
      <c r="S21" s="1"/>
      <c r="T21" s="1"/>
      <c r="U21" s="1"/>
    </row>
    <row r="22" spans="1:21" ht="19" customHeight="1" x14ac:dyDescent="0.3">
      <c r="A22" s="1"/>
      <c r="B22" s="1"/>
      <c r="C22" s="1"/>
      <c r="D22" s="1"/>
      <c r="E22" s="1"/>
      <c r="F22" s="1"/>
      <c r="G22" s="1"/>
      <c r="H22" s="1"/>
      <c r="I22" s="1"/>
      <c r="J22" s="1"/>
      <c r="K22" s="1"/>
      <c r="L22" s="1"/>
      <c r="M22" s="1"/>
      <c r="N22" s="1"/>
      <c r="O22" s="1"/>
      <c r="P22" s="1"/>
      <c r="Q22" s="1"/>
      <c r="R22" s="1"/>
      <c r="S22" s="1"/>
      <c r="T22" s="1"/>
      <c r="U22" s="1"/>
    </row>
    <row r="23" spans="1:21" ht="19" customHeight="1" x14ac:dyDescent="0.3">
      <c r="A23" s="84" t="s">
        <v>10</v>
      </c>
      <c r="B23" s="1"/>
      <c r="C23" s="1"/>
      <c r="D23" s="1"/>
      <c r="E23" s="1"/>
      <c r="F23" s="1"/>
      <c r="G23" s="1"/>
      <c r="H23" s="84" t="s">
        <v>37</v>
      </c>
      <c r="I23" s="1"/>
      <c r="J23" s="1"/>
      <c r="K23" s="1"/>
      <c r="L23" s="1"/>
      <c r="M23" s="84" t="s">
        <v>350</v>
      </c>
      <c r="N23" s="1"/>
      <c r="O23" s="1"/>
      <c r="P23" s="1"/>
      <c r="Q23" s="1"/>
      <c r="R23" s="84" t="s">
        <v>37</v>
      </c>
      <c r="S23" s="1"/>
      <c r="T23" s="1"/>
      <c r="U23" s="1"/>
    </row>
    <row r="24" spans="1:21" ht="19" customHeight="1" x14ac:dyDescent="0.3">
      <c r="A24" s="84" t="s">
        <v>343</v>
      </c>
      <c r="B24" s="84">
        <f>IF(路线!B3="感性",LARGE(第二属性比较!L2:L1100,1),IF(路线!B3="理性",LARGE(第二属性比较!M2:M1100,1),LARGE(第二属性比较!N2:N1100,1)))</f>
        <v>218.99997999999999</v>
      </c>
      <c r="C24" s="84">
        <f>IF(路线!B3="感性",LARGE(第二属性比较!L2:L1100,2),IF(路线!B3="理性",LARGE(第二属性比较!M2:M1100,2),LARGE(第二属性比较!N2:N1100,2)))</f>
        <v>212.99993000000001</v>
      </c>
      <c r="D24" s="84">
        <f>IF(路线!B3="感性",LARGE(第二属性比较!L2:L1100,3),IF(路线!B3="理性",LARGE(第二属性比较!M2:M1100,3),LARGE(第二属性比较!N2:N1100,3)))</f>
        <v>200.99957000000001</v>
      </c>
      <c r="E24" s="84">
        <f>IF(路线!B3="感性",LARGE(第二属性比较!L2:L1100,4),IF(路线!B3="理性",LARGE(第二属性比较!M2:M1100,4),LARGE(第二属性比较!N2:N1100,4)))</f>
        <v>185.99985000000001</v>
      </c>
      <c r="F24" s="84">
        <f>IF(路线!B3="感性",LARGE(第二属性比较!L2:L1100,5),IF(路线!B3="理性",LARGE(第二属性比较!M2:M1100,5),LARGE(第二属性比较!N2:N1100,5)))</f>
        <v>181.99986000000001</v>
      </c>
      <c r="G24" s="84">
        <f>IF(路线!B3="感性",LARGE(第二属性比较!L2:L1100,6),IF(路线!B3="理性",LARGE(第二属性比较!M2:M1100,6),LARGE(第二属性比较!N2:N1100,6)))</f>
        <v>179.99955</v>
      </c>
      <c r="H24" s="84">
        <f>IF(路线!B3="感性",LARGE(第二属性比较!U2:U1100,1),IF(路线!B3="理性",LARGE(第二属性比较!X2:X1100,1),LARGE(第二属性比较!AA2:AA1100,1)))</f>
        <v>200.99957000000001</v>
      </c>
      <c r="I24" s="84">
        <f>IF(路线!B3="感性",LARGE(第二属性比较!U2:U1100,2),IF(路线!B3="理性",LARGE(第二属性比较!X2:X1100,2),LARGE(第二属性比较!AA2:AA1100,2)))</f>
        <v>133.99930000000001</v>
      </c>
      <c r="J24" s="84">
        <f>IF(路线!B3="感性",LARGE(第二属性比较!U2:U1100,3),IF(路线!B3="理性",LARGE(第二属性比较!X2:X1100,3),LARGE(第二属性比较!AA2:AA1100,3)))</f>
        <v>131.99909</v>
      </c>
      <c r="K24" s="1"/>
      <c r="L24" s="1"/>
      <c r="M24" s="84">
        <f>IF(路线!B3="感性",LARGE(第二属性比较!AD2:AD1100,1),IF(路线!B3="理性",LARGE(第二属性比较!AJ2:AJ1100,1),LARGE(第二属性比较!AP2:AP1100,1)))</f>
        <v>218.99997999999999</v>
      </c>
      <c r="N24" s="84">
        <f>IF(路线!B3="感性",LARGE(第二属性比较!AD2:AD1100,2),IF(路线!B3="理性",LARGE(第二属性比较!AJ2:AJ1100,2),LARGE(第二属性比较!AP2:AP1100,2)))</f>
        <v>212.99993000000001</v>
      </c>
      <c r="O24" s="84">
        <f>IF(路线!B3="感性",LARGE(第二属性比较!AD2:AD1100,3),IF(路线!B3="理性",LARGE(第二属性比较!AJ2:AJ1100,3),LARGE(第二属性比较!AP2:AP1100,3)))</f>
        <v>185.99985000000001</v>
      </c>
      <c r="P24" s="84">
        <f>IF(路线!B3="感性",LARGE(第二属性比较!AD2:AD1100,4),IF(路线!B3="理性",LARGE(第二属性比较!AJ2:AJ1100,4),LARGE(第二属性比较!AP2:AP1100,4)))</f>
        <v>181.99986000000001</v>
      </c>
      <c r="Q24" s="84">
        <f>IF(路线!B3="感性",LARGE(第二属性比较!AD2:AD1100,5),IF(路线!B3="理性",LARGE(第二属性比较!AJ2:AJ1100,5),LARGE(第二属性比较!AP2:AP1100,5)))</f>
        <v>179.99955</v>
      </c>
      <c r="R24" s="84">
        <f>IF(路线!B3="感性",LARGE(第二属性比较!AG2:AG1100,1),IF(路线!B3="理性",LARGE(第二属性比较!AM2:AM1100,1),LARGE(第二属性比较!AS2:AS1100,1)))</f>
        <v>200.99957000000001</v>
      </c>
      <c r="S24" s="84">
        <f>IF(路线!B3="感性",LARGE(第二属性比较!AG2:AG1100,2),IF(路线!B3="理性",LARGE(第二属性比较!AM2:AM1100,2),LARGE(第二属性比较!AS2:AS1100,2)))</f>
        <v>133.99930000000001</v>
      </c>
      <c r="T24" s="84">
        <f>IF(路线!B3="感性",LARGE(第二属性比较!AG2:AG1100,3),IF(路线!B3="理性",LARGE(第二属性比较!AM2:AM1100,3),LARGE(第二属性比较!AS2:AS1100,3)))</f>
        <v>131.99909</v>
      </c>
      <c r="U24" s="84">
        <f>IF(路线!B3="感性",LARGE(第二属性比较!AG2:AG1100,4),IF(路线!B3="理性",LARGE(第二属性比较!AM2:AM1100,4),LARGE(第二属性比较!AS2:AS1100,4)))</f>
        <v>128.99939000000001</v>
      </c>
    </row>
    <row r="25" spans="1:21" ht="19" customHeight="1" x14ac:dyDescent="0.3">
      <c r="A25" s="84" t="s">
        <v>162</v>
      </c>
      <c r="B25" s="84">
        <f>IF(路线!B3="感性",LARGE(第二属性比较!O2:O1100,1),IF(路线!B3="理性",LARGE(第二属性比较!P2:P1100,1),LARGE(第二属性比较!Q2:Q1100,1)))</f>
        <v>253.99994000000001</v>
      </c>
      <c r="C25" s="84">
        <f>IF(路线!B3="感性",LARGE(第二属性比较!O2:O1100,2),IF(路线!B3="理性",LARGE(第二属性比较!P2:P1100,2),LARGE(第二属性比较!Q2:Q1100,2)))</f>
        <v>224.99941000000001</v>
      </c>
      <c r="D25" s="84">
        <f>IF(路线!B3="感性",LARGE(第二属性比较!O2:O1100,3),IF(路线!B3="理性",LARGE(第二属性比较!P2:P1100,3),LARGE(第二属性比较!Q2:Q1100,3)))</f>
        <v>221.99947</v>
      </c>
      <c r="E25" s="84">
        <f>IF(路线!B3="感性",LARGE(第二属性比较!O2:O1100,4),IF(路线!B3="理性",LARGE(第二属性比较!P2:P1100,4),LARGE(第二属性比较!Q2:Q1100,4)))</f>
        <v>214.99996999999999</v>
      </c>
      <c r="F25" s="84">
        <f>IF(路线!B3="感性",LARGE(第二属性比较!O2:O1100,5),IF(路线!B3="理性",LARGE(第二属性比较!P2:P1100,5),LARGE(第二属性比较!Q2:Q1100,5)))</f>
        <v>196.99988999999999</v>
      </c>
      <c r="G25" s="84">
        <f>IF(路线!B3="感性",LARGE(第二属性比较!O2:O1100,6),IF(路线!B3="理性",LARGE(第二属性比较!P2:P1100,6),LARGE(第二属性比较!Q2:Q1100,6)))</f>
        <v>192.99941999999999</v>
      </c>
      <c r="H25" s="84">
        <f>IF(路线!B3="感性",LARGE(第二属性比较!V2:V1100,1),IF(路线!B3="理性",LARGE(第二属性比较!Y2:Y1100,1),LARGE(第二属性比较!AB2:AB1100,1)))</f>
        <v>221.99947</v>
      </c>
      <c r="I25" s="84">
        <f>IF(路线!B3="感性",LARGE(第二属性比较!V2:V1100,2),IF(路线!B3="理性",LARGE(第二属性比较!Y2:Y1100,2),LARGE(第二属性比较!AB2:AB1100,2)))</f>
        <v>190.99960999999999</v>
      </c>
      <c r="J25" s="84">
        <f>IF(路线!B3="感性",LARGE(第二属性比较!V2:V1100,3),IF(路线!B3="理性",LARGE(第二属性比较!Y2:Y1100,3),LARGE(第二属性比较!AB2:AB1100,3)))</f>
        <v>186.99970999999999</v>
      </c>
      <c r="K25" s="1"/>
      <c r="L25" s="1"/>
      <c r="M25" s="84">
        <f>IF(路线!B3="感性",LARGE(第二属性比较!AE2:AE1100,1),IF(路线!B3="理性",LARGE(第二属性比较!AK2:AK1100,1),LARGE(第二属性比较!AQ2:AQ1100,1)))</f>
        <v>253.99994000000001</v>
      </c>
      <c r="N25" s="84">
        <f>IF(路线!B3="感性",LARGE(第二属性比较!AE2:AE1100,2),IF(路线!B3="理性",LARGE(第二属性比较!AK2:AK1100,2),LARGE(第二属性比较!AQ2:AQ1100,2)))</f>
        <v>224.99941000000001</v>
      </c>
      <c r="O25" s="84">
        <f>IF(路线!B3="感性",LARGE(第二属性比较!AE2:AE1100,3),IF(路线!B3="理性",LARGE(第二属性比较!AK2:AK1100,3),LARGE(第二属性比较!AQ2:AQ1100,3)))</f>
        <v>214.99996999999999</v>
      </c>
      <c r="P25" s="84">
        <f>IF(路线!B3="感性",LARGE(第二属性比较!AE2:AE1100,4),IF(路线!B3="理性",LARGE(第二属性比较!AK2:AK1100,4),LARGE(第二属性比较!AQ2:AQ1100,4)))</f>
        <v>196.99988999999999</v>
      </c>
      <c r="Q25" s="84">
        <f>IF(路线!B3="感性",LARGE(第二属性比较!AE2:AE1100,5),IF(路线!B3="理性",LARGE(第二属性比较!AK2:AK1100,5),LARGE(第二属性比较!AQ2:AQ1100,5)))</f>
        <v>192.99941999999999</v>
      </c>
      <c r="R25" s="84">
        <f>IF(路线!B3="感性",LARGE(第二属性比较!AH2:AH1100,1),IF(路线!B3="理性",LARGE(第二属性比较!AN2:AN1100,1),LARGE(第二属性比较!AT2:AT1100,1)))</f>
        <v>221.99947</v>
      </c>
      <c r="S25" s="84">
        <f>IF(路线!B3="感性",LARGE(第二属性比较!AH2:AH1100,2),IF(路线!B3="理性",LARGE(第二属性比较!AN2:AN1100,2),LARGE(第二属性比较!AT2:AT1100,2)))</f>
        <v>190.99960999999999</v>
      </c>
      <c r="T25" s="84">
        <f>IF(路线!B3="感性",LARGE(第二属性比较!AH2:AH1100,3),IF(路线!B3="理性",LARGE(第二属性比较!AN2:AN1100,3),LARGE(第二属性比较!AT2:AT1100,3)))</f>
        <v>186.99970999999999</v>
      </c>
      <c r="U25" s="84">
        <f>IF(路线!B3="感性",LARGE(第二属性比较!AH2:AH1100,4),IF(路线!B3="理性",LARGE(第二属性比较!AN2:AN1100,4),LARGE(第二属性比较!AT2:AT1100,4)))</f>
        <v>186.99966000000001</v>
      </c>
    </row>
    <row r="26" spans="1:21" ht="19" customHeight="1" x14ac:dyDescent="0.3">
      <c r="A26" s="84" t="s">
        <v>154</v>
      </c>
      <c r="B26" s="84">
        <f>IF(路线!B3="感性",LARGE(第二属性比较!R2:R1100,1),IF(路线!B3="理性",LARGE(第二属性比较!S2:S1100,1),LARGE(第二属性比较!T2:T1100,1)))</f>
        <v>281.99891000000002</v>
      </c>
      <c r="C26" s="84">
        <f>IF(路线!B3="感性",LARGE(第二属性比较!R2:R1100,2),IF(路线!B3="理性",LARGE(第二属性比较!S2:S1100,2),LARGE(第二属性比较!T2:T1100,2)))</f>
        <v>232.99992</v>
      </c>
      <c r="D26" s="84">
        <f>IF(路线!B3="感性",LARGE(第二属性比较!R2:R1100,3),IF(路线!B3="理性",LARGE(第二属性比较!S2:S1100,3),LARGE(第二属性比较!T2:T1100,3)))</f>
        <v>222.99981</v>
      </c>
      <c r="E26" s="84">
        <f>IF(路线!B3="感性",LARGE(第二属性比较!R2:R1100,4),IF(路线!B3="理性",LARGE(第二属性比较!S2:S1100,4),LARGE(第二属性比较!T2:T1100,4)))</f>
        <v>203.99959999999999</v>
      </c>
      <c r="F26" s="84">
        <f>IF(路线!B3="感性",LARGE(第二属性比较!R2:R1100,5),IF(路线!B3="理性",LARGE(第二属性比较!S2:S1100,5),LARGE(第二属性比较!T2:T1100,5)))</f>
        <v>192.99951999999999</v>
      </c>
      <c r="G26" s="84">
        <f>IF(路线!B3="感性",LARGE(第二属性比较!R2:R1100,6),IF(路线!B3="理性",LARGE(第二属性比较!S2:S1100,6),LARGE(第二属性比较!T2:T1100,6)))</f>
        <v>186.99969999999999</v>
      </c>
      <c r="H26" s="84">
        <f>IF(路线!B3="感性",LARGE(第二属性比较!W2:W1100,1),IF(路线!B3="理性",LARGE(第二属性比较!Z2:Z1100,1),LARGE(第二属性比较!AC2:AC1100,1)))</f>
        <v>222.99981</v>
      </c>
      <c r="I26" s="84">
        <f>IF(路线!B3="感性",LARGE(第二属性比较!W2:W1100,2),IF(路线!B3="理性",LARGE(第二属性比较!Z2:Z1100,2),LARGE(第二属性比较!AC2:AC1100,2)))</f>
        <v>186.99969999999999</v>
      </c>
      <c r="J26" s="84">
        <f>IF(路线!B3="感性",LARGE(第二属性比较!W2:W1100,3),IF(路线!B3="理性",LARGE(第二属性比较!Z2:Z1100,3),LARGE(第二属性比较!AC2:AC1100,3)))</f>
        <v>179.99921000000001</v>
      </c>
      <c r="K26" s="1"/>
      <c r="L26" s="1"/>
      <c r="M26" s="84">
        <f>IF(路线!B3="感性",LARGE(第二属性比较!AF2:AF1100,1),IF(路线!B3="理性",LARGE(第二属性比较!AL2:AL1100,1),LARGE(第二属性比较!AR2:AR1100,1)))</f>
        <v>281.99891000000002</v>
      </c>
      <c r="N26" s="84">
        <f>IF(路线!B3="感性",LARGE(第二属性比较!AF2:AF1100,2),IF(路线!B3="理性",LARGE(第二属性比较!AL2:AL1100,2),LARGE(第二属性比较!AR2:AR1100,2)))</f>
        <v>232.99992</v>
      </c>
      <c r="O26" s="84">
        <f>IF(路线!B3="感性",LARGE(第二属性比较!AF2:AF1100,3),IF(路线!B3="理性",LARGE(第二属性比较!AL2:AL1100,3),LARGE(第二属性比较!AR2:AR1100,3)))</f>
        <v>203.99959999999999</v>
      </c>
      <c r="P26" s="84">
        <f>IF(路线!B3="感性",LARGE(第二属性比较!AF2:AF1100,4),IF(路线!B3="理性",LARGE(第二属性比较!AL2:AL1100,4),LARGE(第二属性比较!AR2:AR1100,4)))</f>
        <v>192.99951999999999</v>
      </c>
      <c r="Q26" s="84">
        <f>IF(路线!B3="感性",LARGE(第二属性比较!AF2:AF1100,5),IF(路线!B3="理性",LARGE(第二属性比较!AL2:AL1100,5),LARGE(第二属性比较!AR2:AR1100,5)))</f>
        <v>164.99932000000001</v>
      </c>
      <c r="R26" s="84">
        <f>IF(路线!B3="感性",LARGE(第二属性比较!AI2:AI1100,1),IF(路线!B3="理性",LARGE(第二属性比较!AO2:AO1100,1),LARGE(第二属性比较!AU2:AU1100,1)))</f>
        <v>222.99981</v>
      </c>
      <c r="S26" s="84">
        <f>IF(路线!B3="感性",LARGE(第二属性比较!AI2:AI1100,2),IF(路线!B3="理性",LARGE(第二属性比较!AO2:AO1100,2),LARGE(第二属性比较!AU2:AU1100,2)))</f>
        <v>186.99969999999999</v>
      </c>
      <c r="T26" s="84">
        <f>IF(路线!B3="感性",LARGE(第二属性比较!AI2:AI1100,3),IF(路线!B3="理性",LARGE(第二属性比较!AO2:AO1100,3),LARGE(第二属性比较!AU2:AU1100,3)))</f>
        <v>179.99921000000001</v>
      </c>
      <c r="U26" s="84">
        <f>IF(路线!B3="感性",LARGE(第二属性比较!AI2:AI1100,4),IF(路线!B3="理性",LARGE(第二属性比较!AO2:AO1100,4),LARGE(第二属性比较!AU2:AU1100,4)))</f>
        <v>173.99931000000001</v>
      </c>
    </row>
    <row r="27" spans="1:21" ht="19" customHeight="1" x14ac:dyDescent="0.3">
      <c r="G27" s="1"/>
    </row>
    <row r="28" spans="1:21" ht="19" customHeight="1" x14ac:dyDescent="0.3">
      <c r="G28" s="84">
        <f>IF(路线!B3="感性",LARGE(第二属性比较!L2:L1100,7),IF(路线!B3="理性",LARGE(第二属性比较!M2:M1100,7),LARGE(第二属性比较!N2:N1100,7)))</f>
        <v>171.99945</v>
      </c>
    </row>
    <row r="29" spans="1:21" ht="19" customHeight="1" x14ac:dyDescent="0.3">
      <c r="G29" s="84">
        <f>IF(路线!B3="感性",LARGE(第二属性比较!O2:O1100,7),IF(路线!B3="理性",LARGE(第二属性比较!P2:P1100,7),LARGE(第二属性比较!Q2:Q1100,7)))</f>
        <v>190.99960999999999</v>
      </c>
    </row>
    <row r="30" spans="1:21" ht="19" customHeight="1" x14ac:dyDescent="0.3">
      <c r="G30" s="84">
        <f>IF(路线!B3="感性",LARGE(第二属性比较!R2:R1100,7),IF(路线!B3="理性",LARGE(第二属性比较!S2:S1100,7),LARGE(第二属性比较!T2:T1100,7)))</f>
        <v>179.99921000000001</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5756D-26BC-45A3-A65E-C73A9B0E49AC}">
  <sheetPr>
    <tabColor rgb="FFFFFFFF"/>
    <outlinePr summaryBelow="0" summaryRight="0"/>
  </sheetPr>
  <dimension ref="D1:AG28"/>
  <sheetViews>
    <sheetView workbookViewId="0"/>
  </sheetViews>
  <sheetFormatPr defaultColWidth="14" defaultRowHeight="13" x14ac:dyDescent="0.3"/>
  <cols>
    <col min="1" max="33" width="14" customWidth="1"/>
  </cols>
  <sheetData>
    <row r="1" spans="4:33" ht="19" customHeight="1" x14ac:dyDescent="0.3">
      <c r="D1" s="3"/>
      <c r="E1" s="98" t="s">
        <v>156</v>
      </c>
      <c r="F1" s="3"/>
      <c r="G1" s="3"/>
      <c r="H1" s="3"/>
      <c r="I1" s="3"/>
      <c r="J1" s="3"/>
      <c r="K1" s="98" t="s">
        <v>158</v>
      </c>
      <c r="L1" s="3"/>
      <c r="M1" s="3"/>
      <c r="N1" s="3"/>
      <c r="O1" s="3"/>
      <c r="P1" s="3"/>
      <c r="Q1" s="3"/>
      <c r="R1" s="3"/>
      <c r="S1" s="3"/>
      <c r="T1" s="3"/>
      <c r="U1" s="3"/>
      <c r="V1" s="3"/>
      <c r="W1" s="98" t="s">
        <v>159</v>
      </c>
      <c r="X1" s="3"/>
      <c r="Y1" s="3"/>
      <c r="Z1" s="3"/>
      <c r="AA1" s="3"/>
      <c r="AB1" s="3"/>
      <c r="AC1" s="98" t="s">
        <v>160</v>
      </c>
      <c r="AD1" s="3"/>
      <c r="AE1" s="3"/>
      <c r="AF1" s="3"/>
      <c r="AG1" s="3"/>
    </row>
    <row r="2" spans="4:33" ht="19" customHeight="1" x14ac:dyDescent="0.3">
      <c r="D2" s="3"/>
      <c r="E2" s="139" t="str">
        <f>卡组计算!A6</f>
        <v>新たな挑戦の成功ですわ！（黄书签）</v>
      </c>
      <c r="F2" s="139"/>
      <c r="G2" s="139"/>
      <c r="H2" s="139"/>
      <c r="I2" s="87">
        <f>ROUNDUP(VLOOKUP(E2,第一属性比较!A2:D999,4,FALSE),0)</f>
        <v>229</v>
      </c>
      <c r="J2" s="3"/>
      <c r="K2" s="139" t="str">
        <f>卡组计算!A6</f>
        <v>新たな挑戦の成功ですわ！（黄书签）</v>
      </c>
      <c r="L2" s="139"/>
      <c r="M2" s="139"/>
      <c r="N2" s="139"/>
      <c r="O2" s="87">
        <f>ROUNDUP(VLOOKUP(K2,第一属性比较!A2:D999,4,FALSE),0)</f>
        <v>229</v>
      </c>
      <c r="P2" s="3"/>
      <c r="Q2" s="139" t="str">
        <f>卡组计算!A9</f>
        <v>そろそろ焼けたかな？（红薯）</v>
      </c>
      <c r="R2" s="139"/>
      <c r="S2" s="139"/>
      <c r="T2" s="139"/>
      <c r="U2" s="87">
        <f>ROUNDUP(VLOOKUP(Q2,第二属性比较!A2:D1100,4,FALSE),0)</f>
        <v>222</v>
      </c>
      <c r="V2" s="3"/>
      <c r="W2" s="139" t="str">
        <f>卡组计算!A6</f>
        <v>新たな挑戦の成功ですわ！（黄书签）</v>
      </c>
      <c r="X2" s="139"/>
      <c r="Y2" s="139"/>
      <c r="Z2" s="139"/>
      <c r="AA2" s="87">
        <f>ROUNDUP(VLOOKUP(W2,第一属性比较!A2:D999,4,FALSE),0)</f>
        <v>229</v>
      </c>
      <c r="AB2" s="87"/>
      <c r="AC2" s="139" t="str">
        <f>卡组计算!A6</f>
        <v>新たな挑戦の成功ですわ！（黄书签）</v>
      </c>
      <c r="AD2" s="139"/>
      <c r="AE2" s="139"/>
      <c r="AF2" s="139"/>
      <c r="AG2" s="87">
        <f>ROUNDUP(VLOOKUP(AC2,第一属性比较!A2:D999,4,FALSE),0)</f>
        <v>229</v>
      </c>
    </row>
    <row r="3" spans="4:33" ht="19" customHeight="1" x14ac:dyDescent="0.3">
      <c r="D3" s="3"/>
      <c r="E3" s="139" t="str">
        <f>卡组计算!D7</f>
        <v>推し活なひととき、だね！（猫头鹰）</v>
      </c>
      <c r="F3" s="139"/>
      <c r="G3" s="139"/>
      <c r="H3" s="139"/>
      <c r="I3" s="87">
        <f>ROUNDUP(VLOOKUP(E3,第一属性比较!A2:D999,4,FALSE),0)</f>
        <v>301</v>
      </c>
      <c r="J3" s="3"/>
      <c r="K3" s="139" t="str">
        <f>卡组计算!D7</f>
        <v>推し活なひととき、だね！（猫头鹰）</v>
      </c>
      <c r="L3" s="139"/>
      <c r="M3" s="139"/>
      <c r="N3" s="139"/>
      <c r="O3" s="87">
        <f>ROUNDUP(VLOOKUP(K3,第一属性比较!A2:D999,4,FALSE),0)</f>
        <v>301</v>
      </c>
      <c r="P3" s="3"/>
      <c r="Q3" s="139" t="str">
        <f>卡组计算!D10</f>
        <v>利用し合うのが友達！（黄毛摸鱼）</v>
      </c>
      <c r="R3" s="139"/>
      <c r="S3" s="139"/>
      <c r="T3" s="139"/>
      <c r="U3" s="87">
        <f>ROUNDUP(VLOOKUP(Q3,第二属性比较!A2:D1100,4,FALSE),0)</f>
        <v>254</v>
      </c>
      <c r="V3" s="3"/>
      <c r="W3" s="139" t="str">
        <f>卡组计算!D7</f>
        <v>推し活なひととき、だね！（猫头鹰）</v>
      </c>
      <c r="X3" s="139"/>
      <c r="Y3" s="139"/>
      <c r="Z3" s="139"/>
      <c r="AA3" s="87">
        <f>ROUNDUP(VLOOKUP(W3,第一属性比较!A2:D999,4,FALSE),0)</f>
        <v>301</v>
      </c>
      <c r="AB3" s="87"/>
      <c r="AC3" s="139" t="str">
        <f>卡组计算!D7</f>
        <v>推し活なひととき、だね！（猫头鹰）</v>
      </c>
      <c r="AD3" s="139"/>
      <c r="AE3" s="139"/>
      <c r="AF3" s="139"/>
      <c r="AG3" s="87">
        <f>ROUNDUP(VLOOKUP(AC3,第一属性比较!A2:D999,4,FALSE),0)</f>
        <v>301</v>
      </c>
    </row>
    <row r="4" spans="4:33" ht="19" customHeight="1" x14ac:dyDescent="0.3">
      <c r="D4" s="3"/>
      <c r="E4" s="139" t="str">
        <f>卡组计算!J8</f>
        <v>ぜったい追いついてやる！（红叶）</v>
      </c>
      <c r="F4" s="139"/>
      <c r="G4" s="139"/>
      <c r="H4" s="139"/>
      <c r="I4" s="87">
        <f>ROUNDUP(VLOOKUP(E4,第一属性比较!A2:D999,4,FALSE),0)</f>
        <v>269</v>
      </c>
      <c r="J4" s="3"/>
      <c r="K4" s="139" t="str">
        <f>卡组计算!J8</f>
        <v>ぜったい追いついてやる！（红叶）</v>
      </c>
      <c r="L4" s="139"/>
      <c r="M4" s="139"/>
      <c r="N4" s="139"/>
      <c r="O4" s="87">
        <f>ROUNDUP(VLOOKUP(K4,第一属性比较!A2:D999,4,FALSE),0)</f>
        <v>269</v>
      </c>
      <c r="P4" s="3"/>
      <c r="Q4" s="139" t="str">
        <f>卡组计算!J11</f>
        <v>千奈の恩返し（恩返）</v>
      </c>
      <c r="R4" s="139"/>
      <c r="S4" s="139"/>
      <c r="T4" s="139"/>
      <c r="U4" s="87">
        <f>ROUNDUP(VLOOKUP(Q4,第二属性比较!A2:D1100,4,FALSE),0)</f>
        <v>225</v>
      </c>
      <c r="V4" s="3"/>
      <c r="W4" s="139" t="str">
        <f>卡组计算!A9</f>
        <v>そろそろ焼けたかな？（红薯）</v>
      </c>
      <c r="X4" s="139"/>
      <c r="Y4" s="139"/>
      <c r="Z4" s="139"/>
      <c r="AA4" s="87">
        <f>ROUNDUP(VLOOKUP(W4,第二属性比较!A2:D1100,4,FALSE),0)</f>
        <v>222</v>
      </c>
      <c r="AB4" s="87"/>
      <c r="AC4" s="140" t="str">
        <f>卡组计算!A9</f>
        <v>そろそろ焼けたかな？（红薯）</v>
      </c>
      <c r="AD4" s="140"/>
      <c r="AE4" s="140"/>
      <c r="AF4" s="140"/>
      <c r="AG4" s="87">
        <f>ROUNDUP(VLOOKUP(AC4,第二属性比较!A2:D1100,4,FALSE),0)</f>
        <v>222</v>
      </c>
    </row>
    <row r="5" spans="4:33" ht="19" customHeight="1" x14ac:dyDescent="0.3">
      <c r="D5" s="3"/>
      <c r="E5" s="139" t="str">
        <f>卡组计算!A9</f>
        <v>そろそろ焼けたかな？（红薯）</v>
      </c>
      <c r="F5" s="139"/>
      <c r="G5" s="139"/>
      <c r="H5" s="139"/>
      <c r="I5" s="87">
        <f>ROUNDUP(VLOOKUP(E5,第二属性比较!A2:D1100,4,FALSE),0)</f>
        <v>222</v>
      </c>
      <c r="J5" s="3"/>
      <c r="K5" s="139" t="str">
        <f>卡组计算!A9</f>
        <v>そろそろ焼けたかな？（红薯）</v>
      </c>
      <c r="L5" s="139"/>
      <c r="M5" s="139"/>
      <c r="N5" s="139"/>
      <c r="O5" s="87">
        <f>ROUNDUP(VLOOKUP(K5,第二属性比较!A2:D1100,4,FALSE),0)</f>
        <v>222</v>
      </c>
      <c r="P5" s="3"/>
      <c r="Q5" s="139" t="str">
        <f>卡组计算!A6</f>
        <v>新たな挑戦の成功ですわ！（黄书签）</v>
      </c>
      <c r="R5" s="139"/>
      <c r="S5" s="139"/>
      <c r="T5" s="139"/>
      <c r="U5" s="87">
        <f>ROUNDUP(VLOOKUP(Q5,第一属性比较!A2:D999,4,FALSE),0)</f>
        <v>229</v>
      </c>
      <c r="V5" s="3"/>
      <c r="W5" s="139" t="str">
        <f>卡组计算!D10</f>
        <v>利用し合うのが友達！（黄毛摸鱼）</v>
      </c>
      <c r="X5" s="139"/>
      <c r="Y5" s="139"/>
      <c r="Z5" s="139"/>
      <c r="AA5" s="87">
        <f>ROUNDUP(VLOOKUP(W5,第二属性比较!A2:D1100,4,FALSE),0)</f>
        <v>254</v>
      </c>
      <c r="AB5" s="87"/>
      <c r="AC5" s="139" t="str">
        <f>卡组计算!D10</f>
        <v>利用し合うのが友達！（黄毛摸鱼）</v>
      </c>
      <c r="AD5" s="139"/>
      <c r="AE5" s="139"/>
      <c r="AF5" s="139"/>
      <c r="AG5" s="87">
        <f>ROUNDUP(VLOOKUP(AC5,第二属性比较!A2:D1100,4,FALSE),0)</f>
        <v>254</v>
      </c>
    </row>
    <row r="6" spans="4:33" ht="19" customHeight="1" x14ac:dyDescent="0.3">
      <c r="D6" s="3"/>
      <c r="E6" s="139" t="str">
        <f>卡组计算!D10</f>
        <v>利用し合うのが友達！（黄毛摸鱼）</v>
      </c>
      <c r="F6" s="139"/>
      <c r="G6" s="139"/>
      <c r="H6" s="139"/>
      <c r="I6" s="87">
        <f>ROUNDUP(VLOOKUP(E6,第二属性比较!A2:D1100,4,FALSE),0)</f>
        <v>254</v>
      </c>
      <c r="J6" s="3"/>
      <c r="K6" s="139" t="str">
        <f>卡组计算!D10</f>
        <v>利用し合うのが友達！（黄毛摸鱼）</v>
      </c>
      <c r="L6" s="139"/>
      <c r="M6" s="139"/>
      <c r="N6" s="139"/>
      <c r="O6" s="87">
        <f>ROUNDUP(VLOOKUP(K6,第二属性比较!A2:D1100,4,FALSE),0)</f>
        <v>254</v>
      </c>
      <c r="P6" s="3"/>
      <c r="Q6" s="139" t="str">
        <f>卡组计算!D7</f>
        <v>推し活なひととき、だね！（猫头鹰）</v>
      </c>
      <c r="R6" s="139"/>
      <c r="S6" s="139"/>
      <c r="T6" s="139"/>
      <c r="U6" s="87">
        <f>ROUNDUP(VLOOKUP(Q6,第一属性比较!A2:D999,4,FALSE),0)</f>
        <v>301</v>
      </c>
      <c r="V6" s="3"/>
      <c r="W6" s="139" t="str">
        <f>卡组计算!A18</f>
        <v>2名様、ご案内～♪（毛球偷吃）</v>
      </c>
      <c r="X6" s="139"/>
      <c r="Y6" s="139"/>
      <c r="Z6" s="139"/>
      <c r="AA6" s="87">
        <f>ROUNDUP(VLOOKUP(W6,第三属性比较!A2:D999,4,FALSE),0)</f>
        <v>182</v>
      </c>
      <c r="AB6" s="87"/>
      <c r="AC6" s="139" t="str">
        <f>卡组计算!J11</f>
        <v>千奈の恩返し（恩返）</v>
      </c>
      <c r="AD6" s="139"/>
      <c r="AE6" s="139"/>
      <c r="AF6" s="139"/>
      <c r="AG6" s="87">
        <f>ROUNDUP(VLOOKUP(AC6,第二属性比较!A2:D1100,4,FALSE),0)</f>
        <v>225</v>
      </c>
    </row>
    <row r="7" spans="4:33" ht="19" customHeight="1" x14ac:dyDescent="0.3">
      <c r="D7" s="3"/>
      <c r="E7" s="139" t="str">
        <f>卡组计算!J11</f>
        <v>千奈の恩返し（恩返）</v>
      </c>
      <c r="F7" s="139"/>
      <c r="G7" s="139"/>
      <c r="H7" s="139"/>
      <c r="I7" s="87">
        <f>ROUNDUP(VLOOKUP(E7,第二属性比较!A2:D1100,4,FALSE),0)</f>
        <v>225</v>
      </c>
      <c r="J7" s="3"/>
      <c r="K7" s="139" t="str">
        <f>卡组计算!A18</f>
        <v>2名様、ご案内～♪（毛球偷吃）</v>
      </c>
      <c r="L7" s="139"/>
      <c r="M7" s="139"/>
      <c r="N7" s="139"/>
      <c r="O7" s="87">
        <f>ROUNDUP(VLOOKUP(K7,第三属性比较!A2:D999,4,FALSE),0)</f>
        <v>182</v>
      </c>
      <c r="P7" s="3"/>
      <c r="Q7" s="139" t="str">
        <f>卡组计算!A18</f>
        <v>2名様、ご案内～♪（毛球偷吃）</v>
      </c>
      <c r="R7" s="139"/>
      <c r="S7" s="139"/>
      <c r="T7" s="139"/>
      <c r="U7" s="87">
        <f>ROUNDUP(VLOOKUP(Q7,第三属性比较!A2:D999,4,FALSE),0)</f>
        <v>182</v>
      </c>
      <c r="V7" s="3"/>
      <c r="W7" s="139" t="str">
        <f>卡组计算!A19</f>
        <v>屈辱の2位（马给马给）</v>
      </c>
      <c r="X7" s="139"/>
      <c r="Y7" s="139"/>
      <c r="Z7" s="139"/>
      <c r="AA7" s="87">
        <f>ROUNDUP(VLOOKUP(W7,第三属性比较!A2:D999,4,FALSE),0)</f>
        <v>172</v>
      </c>
      <c r="AB7" s="87"/>
      <c r="AC7" s="139" t="str">
        <f>卡组计算!J12</f>
        <v>夏を満喫するわよ！（水枪）</v>
      </c>
      <c r="AD7" s="139"/>
      <c r="AE7" s="139"/>
      <c r="AF7" s="139"/>
      <c r="AG7" s="87">
        <f>ROUNDUP(VLOOKUP(AC7,第二属性比较!A2:D1100,4,FALSE),0)</f>
        <v>215</v>
      </c>
    </row>
    <row r="8" spans="4:33" ht="19" customHeight="1" x14ac:dyDescent="0.3">
      <c r="D8" s="3"/>
      <c r="E8" s="3"/>
      <c r="F8" s="3"/>
      <c r="G8" s="3"/>
      <c r="H8" s="3"/>
      <c r="I8" s="3"/>
      <c r="J8" s="3"/>
      <c r="K8" s="3"/>
      <c r="L8" s="3"/>
      <c r="M8" s="3"/>
      <c r="N8" s="3"/>
      <c r="O8" s="3"/>
      <c r="P8" s="3"/>
      <c r="Q8" s="3"/>
      <c r="R8" s="3"/>
      <c r="S8" s="3"/>
      <c r="T8" s="3"/>
      <c r="U8" s="3"/>
      <c r="V8" s="3"/>
      <c r="W8" s="3"/>
      <c r="X8" s="3"/>
      <c r="Y8" s="3"/>
      <c r="Z8" s="3"/>
      <c r="AA8" s="3"/>
      <c r="AB8" s="3"/>
      <c r="AC8" s="3"/>
      <c r="AD8" s="3"/>
      <c r="AE8" s="3"/>
      <c r="AF8" s="3"/>
      <c r="AG8" s="3"/>
    </row>
    <row r="9" spans="4:33" ht="19" customHeight="1" x14ac:dyDescent="0.3">
      <c r="D9" s="3"/>
      <c r="E9" s="3"/>
      <c r="F9" s="3"/>
      <c r="G9" s="3"/>
      <c r="H9" s="3"/>
      <c r="I9" s="87" t="s">
        <v>351</v>
      </c>
      <c r="J9" s="3"/>
      <c r="K9" s="3"/>
      <c r="L9" s="3"/>
      <c r="M9" s="3"/>
      <c r="N9" s="3"/>
      <c r="O9" s="87" t="s">
        <v>351</v>
      </c>
      <c r="P9" s="3"/>
      <c r="Q9" s="3"/>
      <c r="R9" s="3"/>
      <c r="S9" s="3"/>
      <c r="T9" s="3"/>
      <c r="U9" s="87" t="s">
        <v>351</v>
      </c>
      <c r="V9" s="3"/>
      <c r="W9" s="3"/>
      <c r="X9" s="3"/>
      <c r="Y9" s="3"/>
      <c r="Z9" s="3"/>
      <c r="AA9" s="87" t="s">
        <v>351</v>
      </c>
      <c r="AB9" s="87"/>
      <c r="AC9" s="3"/>
      <c r="AD9" s="3"/>
      <c r="AE9" s="3"/>
      <c r="AF9" s="3"/>
      <c r="AG9" s="87" t="s">
        <v>351</v>
      </c>
    </row>
    <row r="10" spans="4:33" ht="19" customHeight="1" x14ac:dyDescent="0.3">
      <c r="D10" s="87" t="s">
        <v>352</v>
      </c>
      <c r="E10" s="87" t="str">
        <f>"【借】"&amp;卡组计算!A6</f>
        <v>【借】新たな挑戦の成功ですわ！（黄书签）</v>
      </c>
      <c r="F10" s="3"/>
      <c r="G10" s="3"/>
      <c r="H10" s="3"/>
      <c r="I10" s="87">
        <f>ROUNDUP(VLOOKUP(E2,第一属性比较!A2:J999,10,FALSE),0)-I2</f>
        <v>0</v>
      </c>
      <c r="J10" s="3"/>
      <c r="K10" s="87" t="str">
        <f>"【借】"&amp;卡组计算!A6</f>
        <v>【借】新たな挑戦の成功ですわ！（黄书签）</v>
      </c>
      <c r="L10" s="3"/>
      <c r="M10" s="3"/>
      <c r="N10" s="3"/>
      <c r="O10" s="87">
        <f>ROUNDUP(VLOOKUP(K2,第一属性比较!A2:J999,10,FALSE),0)-O2</f>
        <v>0</v>
      </c>
      <c r="P10" s="3"/>
      <c r="Q10" s="87" t="str">
        <f>"【借】"&amp;卡组计算!A9</f>
        <v>【借】そろそろ焼けたかな？（红薯）</v>
      </c>
      <c r="R10" s="3"/>
      <c r="S10" s="3"/>
      <c r="T10" s="3"/>
      <c r="U10" s="87">
        <f>ROUNDUP(VLOOKUP(Q2,第二属性比较!A2:J1100,10,FALSE),0)-U2</f>
        <v>0</v>
      </c>
      <c r="V10" s="3"/>
      <c r="W10" s="87" t="str">
        <f>"【借】"&amp;卡组计算!A6</f>
        <v>【借】新たな挑戦の成功ですわ！（黄书签）</v>
      </c>
      <c r="X10" s="3"/>
      <c r="Y10" s="3"/>
      <c r="Z10" s="3"/>
      <c r="AA10" s="87">
        <f>ROUNDUP(VLOOKUP(W2,第一属性比较!A2:J999,10,FALSE),0)-AA2</f>
        <v>0</v>
      </c>
      <c r="AB10" s="87"/>
      <c r="AC10" s="87" t="str">
        <f t="shared" ref="AC10:AC15" si="0">"【借】"&amp;AC2</f>
        <v>【借】新たな挑戦の成功ですわ！（黄书签）</v>
      </c>
      <c r="AD10" s="3"/>
      <c r="AE10" s="3"/>
      <c r="AF10" s="3"/>
      <c r="AG10" s="87">
        <f>ROUNDUP(VLOOKUP(AC2,第一属性比较!A2:J999,10,FALSE),0)-AG2</f>
        <v>0</v>
      </c>
    </row>
    <row r="11" spans="4:33" ht="19" customHeight="1" x14ac:dyDescent="0.3">
      <c r="D11" s="3"/>
      <c r="E11" s="87" t="str">
        <f>"【借】"&amp;卡组计算!D7</f>
        <v>【借】推し活なひととき、だね！（猫头鹰）</v>
      </c>
      <c r="F11" s="3"/>
      <c r="G11" s="3"/>
      <c r="H11" s="3"/>
      <c r="I11" s="87">
        <f>ROUNDUP(VLOOKUP(E3,第一属性比较!A2:J999,10,FALSE),0)-I3</f>
        <v>0</v>
      </c>
      <c r="J11" s="3"/>
      <c r="K11" s="87" t="str">
        <f>"【借】"&amp;卡组计算!D7</f>
        <v>【借】推し活なひととき、だね！（猫头鹰）</v>
      </c>
      <c r="L11" s="3"/>
      <c r="M11" s="3"/>
      <c r="N11" s="3"/>
      <c r="O11" s="87">
        <f>ROUNDUP(VLOOKUP(K3,第一属性比较!A2:J999,10,FALSE),0)-O3</f>
        <v>0</v>
      </c>
      <c r="P11" s="3"/>
      <c r="Q11" s="87" t="str">
        <f>"【借】"&amp;卡组计算!D10</f>
        <v>【借】利用し合うのが友達！（黄毛摸鱼）</v>
      </c>
      <c r="R11" s="3"/>
      <c r="S11" s="3"/>
      <c r="T11" s="3"/>
      <c r="U11" s="87">
        <f>ROUNDUP(VLOOKUP(Q3,第二属性比较!A2:J1100,10,FALSE),0)-U3</f>
        <v>0</v>
      </c>
      <c r="V11" s="3"/>
      <c r="W11" s="87" t="str">
        <f>"【借】"&amp;卡组计算!D7</f>
        <v>【借】推し活なひととき、だね！（猫头鹰）</v>
      </c>
      <c r="X11" s="3"/>
      <c r="Y11" s="3"/>
      <c r="Z11" s="3"/>
      <c r="AA11" s="87">
        <f>ROUNDUP(VLOOKUP(W3,第一属性比较!A2:J999,10,FALSE),0)-AA3</f>
        <v>0</v>
      </c>
      <c r="AB11" s="87"/>
      <c r="AC11" s="87" t="str">
        <f t="shared" si="0"/>
        <v>【借】推し活なひととき、だね！（猫头鹰）</v>
      </c>
      <c r="AD11" s="3"/>
      <c r="AE11" s="3"/>
      <c r="AF11" s="3"/>
      <c r="AG11" s="87">
        <f>ROUNDUP(VLOOKUP(AC3,第一属性比较!A2:J999,10,FALSE),0)-AG3</f>
        <v>0</v>
      </c>
    </row>
    <row r="12" spans="4:33" ht="19" customHeight="1" x14ac:dyDescent="0.3">
      <c r="D12" s="3"/>
      <c r="E12" s="87" t="str">
        <f>"【借】"&amp;卡组计算!J8</f>
        <v>【借】ぜったい追いついてやる！（红叶）</v>
      </c>
      <c r="F12" s="3"/>
      <c r="G12" s="3"/>
      <c r="H12" s="3"/>
      <c r="I12" s="87">
        <f>ROUNDUP(VLOOKUP(E4,第一属性比较!A2:J999,10,FALSE),0)-I4</f>
        <v>0</v>
      </c>
      <c r="J12" s="3"/>
      <c r="K12" s="87" t="str">
        <f>"【借】"&amp;卡组计算!J8</f>
        <v>【借】ぜったい追いついてやる！（红叶）</v>
      </c>
      <c r="L12" s="3"/>
      <c r="M12" s="3"/>
      <c r="N12" s="3"/>
      <c r="O12" s="87">
        <f>ROUNDUP(VLOOKUP(K4,第一属性比较!A2:J999,10,FALSE),0)-O4</f>
        <v>0</v>
      </c>
      <c r="P12" s="3"/>
      <c r="Q12" s="87" t="str">
        <f>"【借】"&amp;卡组计算!J11</f>
        <v>【借】千奈の恩返し（恩返）</v>
      </c>
      <c r="R12" s="3"/>
      <c r="S12" s="3"/>
      <c r="T12" s="3"/>
      <c r="U12" s="87">
        <f>ROUNDUP(VLOOKUP(Q4,第二属性比较!A2:J1100,10,FALSE),0)-U4</f>
        <v>0</v>
      </c>
      <c r="V12" s="3"/>
      <c r="W12" s="87" t="str">
        <f>"【借】"&amp;卡组计算!A9</f>
        <v>【借】そろそろ焼けたかな？（红薯）</v>
      </c>
      <c r="X12" s="3"/>
      <c r="Y12" s="3"/>
      <c r="Z12" s="3"/>
      <c r="AA12" s="87">
        <f>ROUNDUP(VLOOKUP(W4,第二属性比较!A2:J1100,10,FALSE),0)-AA4</f>
        <v>0</v>
      </c>
      <c r="AB12" s="87"/>
      <c r="AC12" s="97" t="str">
        <f t="shared" si="0"/>
        <v>【借】そろそろ焼けたかな？（红薯）</v>
      </c>
      <c r="AD12" s="3"/>
      <c r="AE12" s="3"/>
      <c r="AF12" s="3"/>
      <c r="AG12" s="87">
        <f>ROUNDUP(VLOOKUP(AC4,第二属性比较!A2:J1100,10,FALSE),0)-AG4</f>
        <v>0</v>
      </c>
    </row>
    <row r="13" spans="4:33" ht="19" customHeight="1" x14ac:dyDescent="0.3">
      <c r="D13" s="3"/>
      <c r="E13" s="87" t="str">
        <f>"【借】"&amp;卡组计算!A9</f>
        <v>【借】そろそろ焼けたかな？（红薯）</v>
      </c>
      <c r="F13" s="3"/>
      <c r="G13" s="3"/>
      <c r="H13" s="3"/>
      <c r="I13" s="87">
        <f>ROUNDUP(VLOOKUP(E5,第二属性比较!A2:J1100,10,FALSE),0)-I5</f>
        <v>0</v>
      </c>
      <c r="J13" s="3"/>
      <c r="K13" s="87" t="str">
        <f>"【借】"&amp;卡组计算!A9</f>
        <v>【借】そろそろ焼けたかな？（红薯）</v>
      </c>
      <c r="L13" s="3"/>
      <c r="M13" s="3"/>
      <c r="N13" s="3"/>
      <c r="O13" s="87">
        <f>ROUNDUP(VLOOKUP(K5,第二属性比较!A2:J1100,10,FALSE),0)-O5</f>
        <v>0</v>
      </c>
      <c r="P13" s="3"/>
      <c r="Q13" s="87" t="str">
        <f>"【借】"&amp;卡组计算!A6</f>
        <v>【借】新たな挑戦の成功ですわ！（黄书签）</v>
      </c>
      <c r="R13" s="3"/>
      <c r="S13" s="3"/>
      <c r="T13" s="3"/>
      <c r="U13" s="87">
        <f>ROUNDUP(VLOOKUP(Q5,第一属性比较!A2:J999,10,FALSE),0)-U5</f>
        <v>0</v>
      </c>
      <c r="V13" s="3"/>
      <c r="W13" s="87" t="str">
        <f>"【借】"&amp;卡组计算!D10</f>
        <v>【借】利用し合うのが友達！（黄毛摸鱼）</v>
      </c>
      <c r="X13" s="3"/>
      <c r="Y13" s="3"/>
      <c r="Z13" s="3"/>
      <c r="AA13" s="87">
        <f>ROUNDUP(VLOOKUP(W5,第二属性比较!A2:J1100,10,FALSE),0)-AA5</f>
        <v>0</v>
      </c>
      <c r="AB13" s="87"/>
      <c r="AC13" s="87" t="str">
        <f t="shared" si="0"/>
        <v>【借】利用し合うのが友達！（黄毛摸鱼）</v>
      </c>
      <c r="AD13" s="3"/>
      <c r="AE13" s="3"/>
      <c r="AF13" s="3"/>
      <c r="AG13" s="87">
        <f>ROUNDUP(VLOOKUP(AC5,第二属性比较!A2:J1100,10,FALSE),0)-AG5</f>
        <v>0</v>
      </c>
    </row>
    <row r="14" spans="4:33" ht="19" customHeight="1" x14ac:dyDescent="0.3">
      <c r="D14" s="3"/>
      <c r="E14" s="87" t="str">
        <f>"【借】"&amp;卡组计算!D10</f>
        <v>【借】利用し合うのが友達！（黄毛摸鱼）</v>
      </c>
      <c r="F14" s="3"/>
      <c r="G14" s="3"/>
      <c r="H14" s="3"/>
      <c r="I14" s="87">
        <f>ROUNDUP(VLOOKUP(E6,第二属性比较!A2:J1100,10,FALSE),0)-I6</f>
        <v>0</v>
      </c>
      <c r="J14" s="3"/>
      <c r="K14" s="87" t="str">
        <f>"【借】"&amp;卡组计算!D10</f>
        <v>【借】利用し合うのが友達！（黄毛摸鱼）</v>
      </c>
      <c r="L14" s="3"/>
      <c r="M14" s="3"/>
      <c r="N14" s="3"/>
      <c r="O14" s="87">
        <f>ROUNDUP(VLOOKUP(K6,第二属性比较!A2:J1100,10,FALSE),0)-O6</f>
        <v>0</v>
      </c>
      <c r="P14" s="3"/>
      <c r="Q14" s="87" t="str">
        <f>"【借】"&amp;卡组计算!D7</f>
        <v>【借】推し活なひととき、だね！（猫头鹰）</v>
      </c>
      <c r="R14" s="3"/>
      <c r="S14" s="3"/>
      <c r="T14" s="3"/>
      <c r="U14" s="87">
        <f>ROUNDUP(VLOOKUP(Q6,第一属性比较!A2:J999,10,FALSE),0)-U6</f>
        <v>0</v>
      </c>
      <c r="V14" s="3"/>
      <c r="W14" s="87" t="str">
        <f>"【借】"&amp;卡组计算!A18</f>
        <v>【借】2名様、ご案内～♪（毛球偷吃）</v>
      </c>
      <c r="X14" s="3"/>
      <c r="Y14" s="3"/>
      <c r="Z14" s="3"/>
      <c r="AA14" s="87">
        <f>ROUNDUP(VLOOKUP(W6,第三属性比较!A2:J999,10,FALSE),0)-AA6</f>
        <v>0</v>
      </c>
      <c r="AB14" s="87"/>
      <c r="AC14" s="87" t="str">
        <f t="shared" si="0"/>
        <v>【借】千奈の恩返し（恩返）</v>
      </c>
      <c r="AD14" s="3"/>
      <c r="AE14" s="3"/>
      <c r="AF14" s="3"/>
      <c r="AG14" s="87">
        <f>ROUNDUP(VLOOKUP(AC6,第二属性比较!A2:J1100,10,FALSE),0)-AG6</f>
        <v>0</v>
      </c>
    </row>
    <row r="15" spans="4:33" ht="19" customHeight="1" x14ac:dyDescent="0.3">
      <c r="D15" s="3"/>
      <c r="E15" s="87" t="str">
        <f>"【借】"&amp;卡组计算!J11</f>
        <v>【借】千奈の恩返し（恩返）</v>
      </c>
      <c r="F15" s="3"/>
      <c r="G15" s="3"/>
      <c r="H15" s="3"/>
      <c r="I15" s="87">
        <f>ROUNDUP(VLOOKUP(E7,第二属性比较!A2:J1100,10,FALSE),0)-I7</f>
        <v>0</v>
      </c>
      <c r="J15" s="3"/>
      <c r="K15" s="87" t="str">
        <f>"【借】"&amp;卡组计算!A18</f>
        <v>【借】2名様、ご案内～♪（毛球偷吃）</v>
      </c>
      <c r="L15" s="3"/>
      <c r="M15" s="3"/>
      <c r="N15" s="3"/>
      <c r="O15" s="87">
        <f>ROUNDUP(VLOOKUP(K7,第三属性比较!A2:J999,10,FALSE),0)-O7</f>
        <v>0</v>
      </c>
      <c r="P15" s="3"/>
      <c r="Q15" s="87" t="str">
        <f>"【借】"&amp;卡组计算!A18</f>
        <v>【借】2名様、ご案内～♪（毛球偷吃）</v>
      </c>
      <c r="R15" s="3"/>
      <c r="S15" s="3"/>
      <c r="T15" s="3"/>
      <c r="U15" s="87">
        <f>ROUNDUP(VLOOKUP(Q7,第三属性比较!A2:J999,10,FALSE),0)-U7</f>
        <v>0</v>
      </c>
      <c r="V15" s="3"/>
      <c r="W15" s="87" t="str">
        <f>"【借】"&amp;卡组计算!A19</f>
        <v>【借】屈辱の2位（马给马给）</v>
      </c>
      <c r="X15" s="3"/>
      <c r="Y15" s="3"/>
      <c r="Z15" s="3"/>
      <c r="AA15" s="87">
        <f>ROUNDUP(VLOOKUP(W7,第三属性比较!A2:J999,10,FALSE),0)-AA7</f>
        <v>0</v>
      </c>
      <c r="AB15" s="87"/>
      <c r="AC15" s="87" t="str">
        <f t="shared" si="0"/>
        <v>【借】夏を満喫するわよ！（水枪）</v>
      </c>
      <c r="AD15" s="3"/>
      <c r="AE15" s="3"/>
      <c r="AF15" s="3"/>
      <c r="AG15" s="87">
        <f>ROUNDUP(VLOOKUP(AC7,第二属性比较!A2:J1100,10,FALSE),0)-AG7</f>
        <v>0</v>
      </c>
    </row>
    <row r="16" spans="4:33" ht="19" customHeight="1" x14ac:dyDescent="0.3">
      <c r="D16" s="87" t="s">
        <v>353</v>
      </c>
      <c r="E16" s="97" t="str">
        <f>IF(路线!B1="红",IF(路线!C2&gt;=1,"【借】"&amp;卡组计算!M10,"【借】"&amp;卡组计算!P10),IF(路线!B1="蓝",IF(路线!C3&gt;=1,"【借】"&amp;卡组计算!M10,"【借】"&amp;卡组计算!P10),IF(路线!C4&gt;=1,"【借】"&amp;卡组计算!M10,"【借】"&amp;卡组计算!P10)))</f>
        <v>【借】まるで王子様みたいな（王子）</v>
      </c>
      <c r="F16" s="3"/>
      <c r="G16" s="3"/>
      <c r="H16" s="3"/>
      <c r="I16" s="87">
        <f>ROUNDUP(VLOOKUP(MID(E16,4,LEN(E16)),第一属性比较!A2:J999,10,FALSE),0)-I2</f>
        <v>-25</v>
      </c>
      <c r="J16" s="3"/>
      <c r="K16" s="97" t="str">
        <f>IF(路线!B1="红",IF(路线!C2&gt;=1,"【借】"&amp;卡组计算!M10,"【借】"&amp;卡组计算!P10),IF(路线!B1="蓝",IF(路线!C3&gt;=1,"【借】"&amp;卡组计算!M10,"【借】"&amp;卡组计算!P10),IF(路线!C4&gt;=1,"【借】"&amp;卡组计算!M10,"【借】"&amp;卡组计算!P10)))</f>
        <v>【借】まるで王子様みたいな（王子）</v>
      </c>
      <c r="L16" s="3"/>
      <c r="M16" s="3"/>
      <c r="N16" s="3"/>
      <c r="O16" s="87">
        <f>ROUNDUP(VLOOKUP(MID(K16,4,LEN(K16)),第一属性比较!A2:J999,10,FALSE),0)-O2</f>
        <v>-25</v>
      </c>
      <c r="P16" s="3"/>
      <c r="Q16" s="87" t="str">
        <f>IF(路线!B2="红",IF(路线!C2&gt;=1,"【借】"&amp;卡组计算!M16,"【借】"&amp;卡组计算!P16),IF(路线!B2="蓝",IF(路线!C3&gt;=1,"【借】"&amp;卡组计算!M16,"【借】"&amp;卡组计算!P16),IF(路线!C4&gt;=1,"【借】"&amp;卡组计算!M16,"【借】"&amp;卡组计算!P16)))</f>
        <v>【借】きゅる～んωポーズッ☆（可爱pose）</v>
      </c>
      <c r="R16" s="3"/>
      <c r="S16" s="3"/>
      <c r="T16" s="3"/>
      <c r="U16" s="87">
        <f>ROUNDUP(VLOOKUP(MID(Q16,4,LEN(Q16)),第二属性比较!A2:J1100,10,FALSE),0)-U2</f>
        <v>-31</v>
      </c>
      <c r="V16" s="3"/>
      <c r="W16" s="97" t="str">
        <f>IF(路线!B1="红",IF(路线!C2&gt;=1,"【借】"&amp;卡组计算!M10,"【借】"&amp;卡组计算!P10),IF(路线!B1="蓝",IF(路线!C3&gt;=1,"【借】"&amp;卡组计算!M10,"【借】"&amp;卡组计算!P10),IF(路线!C4&gt;=1,"【借】"&amp;卡组计算!M10,"【借】"&amp;卡组计算!P10)))</f>
        <v>【借】まるで王子様みたいな（王子）</v>
      </c>
      <c r="X16" s="3"/>
      <c r="Y16" s="3"/>
      <c r="Z16" s="3"/>
      <c r="AA16" s="87">
        <f>ROUNDUP(VLOOKUP(MID(W16,4,LEN(W16)),第一属性比较!A2:PJ999,10,FALSE),0)-AA2</f>
        <v>-25</v>
      </c>
      <c r="AB16" s="87"/>
      <c r="AC16" s="87" t="str">
        <f>IF(路线!B1="红",IF(路线!C2&gt;=1,"【借】"&amp;卡组计算!M10,"【借】"&amp;卡组计算!P10),IF(路线!B1="蓝",IF(路线!C3&gt;=1,"【借】"&amp;卡组计算!M10,"【借】"&amp;卡组计算!P10),IF(路线!C4&gt;=1,"【借】"&amp;卡组计算!M10,"【借】"&amp;卡组计算!P10)))</f>
        <v>【借】まるで王子様みたいな（王子）</v>
      </c>
      <c r="AD16" s="3"/>
      <c r="AE16" s="3"/>
      <c r="AF16" s="3"/>
      <c r="AG16" s="87">
        <f>ROUNDUP(VLOOKUP(MID(AC16,4,LEN(AC16)),第一属性比较!A2:PJ999,10,FALSE),0)-AG2</f>
        <v>-25</v>
      </c>
    </row>
    <row r="17" spans="4:33" ht="19" customHeight="1" x14ac:dyDescent="0.3">
      <c r="D17" s="3"/>
      <c r="E17" s="87" t="str">
        <f>IF(路线!B1="红",IF(路线!C2&gt;=2,"【借】"&amp;卡组计算!M10,"【借】"&amp;卡组计算!P10),IF(路线!B1="蓝",IF(路线!C3&gt;=2,"【借】"&amp;卡组计算!M10,"【借】"&amp;卡组计算!P10),IF(路线!C4&gt;=2,"【借】"&amp;卡组计算!M10,"【借】"&amp;卡组计算!P10)))</f>
        <v>【借】かちこちストレッチ（菲柱体前屈）</v>
      </c>
      <c r="F17" s="3"/>
      <c r="G17" s="3"/>
      <c r="H17" s="3"/>
      <c r="I17" s="87">
        <f>ROUNDUP(VLOOKUP(MID(E17,4,LEN(E17)),第一属性比较!A2:J999,10,FALSE),0)-I3</f>
        <v>-70</v>
      </c>
      <c r="J17" s="3"/>
      <c r="K17" s="87" t="str">
        <f>IF(路线!B1="红",IF(路线!C2&gt;=2,"【借】"&amp;卡组计算!M10,"【借】"&amp;卡组计算!P10),IF(路线!B1="蓝",IF(路线!C3&gt;=2,"【借】"&amp;卡组计算!M10,"【借】"&amp;卡组计算!P10),IF(路线!C4&gt;=2,"【借】"&amp;卡组计算!M10,"【借】"&amp;卡组计算!P10)))</f>
        <v>【借】かちこちストレッチ（菲柱体前屈）</v>
      </c>
      <c r="L17" s="3"/>
      <c r="M17" s="3"/>
      <c r="N17" s="3"/>
      <c r="O17" s="87">
        <f>ROUNDUP(VLOOKUP(MID(K17,4,LEN(K17)),第一属性比较!A2:J999,10,FALSE),0)-O3</f>
        <v>-70</v>
      </c>
      <c r="P17" s="3"/>
      <c r="Q17" s="87" t="str">
        <f>IF(路线!B2="红",IF(路线!C2&gt;=2,"【借】"&amp;卡组计算!M16,"【借】"&amp;卡组计算!P16),IF(路线!B2="蓝",IF(路线!C3&gt;=2,"【借】"&amp;卡组计算!M16,"【借】"&amp;卡组计算!P16),IF(路线!C4&gt;=2,"【借】"&amp;卡组计算!M16,"【借】"&amp;卡组计算!P16)))</f>
        <v>【借】夏を満喫するわよ！（水枪）</v>
      </c>
      <c r="R17" s="3"/>
      <c r="S17" s="3"/>
      <c r="T17" s="3"/>
      <c r="U17" s="87">
        <f>ROUNDUP(VLOOKUP(MID(Q17,4,LEN(Q17)),第二属性比较!A2:J1100,10,FALSE),0)-U3</f>
        <v>-39</v>
      </c>
      <c r="V17" s="3"/>
      <c r="W17" s="87" t="str">
        <f>IF(路线!B1="红",IF(路线!C2&gt;=2,"【借】"&amp;卡组计算!M10,"【借】"&amp;卡组计算!P10),IF(路线!B1="蓝",IF(路线!C3&gt;=2,"【借】"&amp;卡组计算!M10,"【借】"&amp;卡组计算!P10),IF(路线!C4&gt;=2,"【借】"&amp;卡组计算!M10,"【借】"&amp;卡组计算!P10)))</f>
        <v>【借】かちこちストレッチ（菲柱体前屈）</v>
      </c>
      <c r="X17" s="3"/>
      <c r="Y17" s="3"/>
      <c r="Z17" s="3"/>
      <c r="AA17" s="87">
        <f>ROUNDUP(VLOOKUP(MID(W17,4,LEN(W17)),第一属性比较!A2:J999,10,FALSE),0)-AA3</f>
        <v>-70</v>
      </c>
      <c r="AB17" s="87"/>
      <c r="AC17" s="87" t="str">
        <f>IF(路线!B1="红",IF(路线!C2&gt;=2,"【借】"&amp;卡组计算!M10,"【借】"&amp;卡组计算!P10),IF(路线!B1="蓝",IF(路线!C3&gt;=2,"【借】"&amp;卡组计算!M10,"【借】"&amp;卡组计算!P10),IF(路线!C4&gt;=2,"【借】"&amp;卡组计算!M10,"【借】"&amp;卡组计算!P10)))</f>
        <v>【借】かちこちストレッチ（菲柱体前屈）</v>
      </c>
      <c r="AD17" s="3"/>
      <c r="AE17" s="3"/>
      <c r="AF17" s="3"/>
      <c r="AG17" s="87">
        <f>ROUNDUP(VLOOKUP(MID(AC17,4,LEN(AC17)),第一属性比较!A2:PJ999,10,FALSE),0)-AG3</f>
        <v>-70</v>
      </c>
    </row>
    <row r="18" spans="4:33" ht="19" customHeight="1" x14ac:dyDescent="0.3">
      <c r="D18" s="3"/>
      <c r="E18" s="87" t="str">
        <f>IF(路线!B1="红",IF(路线!C2&gt;=3,"【借】"&amp;卡组计算!M10,"【借】"&amp;卡组计算!P10),IF(路线!B1="蓝",IF(路线!C3&gt;=3,"【借】"&amp;卡组计算!M10,"【借】"&amp;卡组计算!P10),IF(路线!C4&gt;=3,"【借】"&amp;卡组计算!M10,"【借】"&amp;卡组计算!P10)))</f>
        <v>【借】かちこちストレッチ（菲柱体前屈）</v>
      </c>
      <c r="F18" s="3"/>
      <c r="G18" s="3"/>
      <c r="H18" s="3"/>
      <c r="I18" s="87">
        <f>ROUNDUP(VLOOKUP(MID(E18,4,LEN(E18)),第一属性比较!A2:J999,10,FALSE),0)-I4</f>
        <v>-38</v>
      </c>
      <c r="J18" s="3"/>
      <c r="K18" s="87" t="str">
        <f>IF(路线!B1="红",IF(路线!C2&gt;=3,"【借】"&amp;卡组计算!M10,"【借】"&amp;卡组计算!P10),IF(路线!B1="蓝",IF(路线!C3&gt;=3,"【借】"&amp;卡组计算!M10,"【借】"&amp;卡组计算!P10),IF(路线!C4&gt;=3,"【借】"&amp;卡组计算!M10,"【借】"&amp;卡组计算!P10)))</f>
        <v>【借】かちこちストレッチ（菲柱体前屈）</v>
      </c>
      <c r="L18" s="3"/>
      <c r="M18" s="3"/>
      <c r="N18" s="3"/>
      <c r="O18" s="87">
        <f>ROUNDUP(VLOOKUP(MID(K18,4,LEN(K18)),第一属性比较!A2:J999,10,FALSE),0)-O4</f>
        <v>-38</v>
      </c>
      <c r="P18" s="3"/>
      <c r="Q18" s="87" t="str">
        <f>IF(路线!B2="红",IF(路线!C2&gt;=3,"【借】"&amp;卡组计算!M16,"【借】"&amp;卡组计算!P16),IF(路线!B2="蓝",IF(路线!C3&gt;=3,"【借】"&amp;卡组计算!M16,"【借】"&amp;卡组计算!P16),IF(路线!C4&gt;=3,"【借】"&amp;卡组计算!M16,"【借】"&amp;卡组计算!P16)))</f>
        <v>【借】夏を満喫するわよ！（水枪）</v>
      </c>
      <c r="R18" s="3"/>
      <c r="S18" s="3"/>
      <c r="T18" s="3"/>
      <c r="U18" s="87">
        <f>ROUNDUP(VLOOKUP(MID(Q18,4,LEN(Q18)),第二属性比较!A2:J1100,10,FALSE),0)-U4</f>
        <v>-10</v>
      </c>
      <c r="V18" s="3"/>
      <c r="W18" s="87" t="str">
        <f>IF(路线!B2="红",IF(路线!C2&gt;=1,"【借】"&amp;卡组计算!M16,"【借】"&amp;卡组计算!P16),IF(路线!B2="蓝",IF(路线!C3&gt;=1,"【借】"&amp;卡组计算!M16,"【借】"&amp;卡组计算!P16),IF(路线!C4&gt;=1,"【借】"&amp;卡组计算!M16,"【借】"&amp;卡组计算!P16)))</f>
        <v>【借】きゅる～んωポーズッ☆（可爱pose）</v>
      </c>
      <c r="X18" s="3"/>
      <c r="Y18" s="3"/>
      <c r="Z18" s="3"/>
      <c r="AA18" s="87">
        <f>ROUNDUP(VLOOKUP(MID(W18,4,LEN(W18)),第二属性比较!A2:J1100,10,FALSE),0)-AA4</f>
        <v>-31</v>
      </c>
      <c r="AB18" s="87"/>
      <c r="AC18" s="87" t="str">
        <f>IF(路线!B2="红",IF(路线!C2&gt;=1,"【借】"&amp;卡组计算!M16,"【借】"&amp;卡组计算!P17),IF(路线!B2="蓝",IF(路线!C3&gt;=1,"【借】"&amp;卡组计算!M16,"【借】"&amp;卡组计算!P17),IF(路线!C4&gt;=1,"【借】"&amp;卡组计算!M16,"【借】"&amp;卡组计算!P17)))</f>
        <v>【借】きゅる～んωポーズッ☆（可爱pose）</v>
      </c>
      <c r="AD18" s="3"/>
      <c r="AE18" s="3"/>
      <c r="AF18" s="3"/>
      <c r="AG18" s="87">
        <f>ROUNDUP(VLOOKUP(MID(AC18,4,LEN(AC18)),第二属性比较!A2:J1100,10,FALSE),0)-AG4</f>
        <v>-31</v>
      </c>
    </row>
    <row r="19" spans="4:33" ht="19" customHeight="1" x14ac:dyDescent="0.3">
      <c r="D19" s="3"/>
      <c r="E19" s="87" t="str">
        <f>IF(路线!B2="红",IF(路线!C2&gt;=1,"【借】"&amp;卡组计算!M16,"【借】"&amp;卡组计算!P16),IF(路线!B2="蓝",IF(路线!C3&gt;=1,"【借】"&amp;卡组计算!M16,"【借】"&amp;卡组计算!P16),IF(路线!C4&gt;=1,"【借】"&amp;卡组计算!M16,"【借】"&amp;卡组计算!P16)))</f>
        <v>【借】きゅる～んωポーズッ☆（可爱pose）</v>
      </c>
      <c r="F19" s="3"/>
      <c r="G19" s="3"/>
      <c r="H19" s="3"/>
      <c r="I19" s="87">
        <f>ROUNDUP(VLOOKUP(MID(E19,4,LEN(E19)),第二属性比较!A2:J1100,10,FALSE),0)-I5</f>
        <v>-31</v>
      </c>
      <c r="J19" s="3"/>
      <c r="K19" s="87" t="str">
        <f>IF(路线!B2="红",IF(路线!C2&gt;=1,"【借】"&amp;卡组计算!M16,"【借】"&amp;卡组计算!P16),IF(路线!B2="蓝",IF(路线!C3&gt;=1,"【借】"&amp;卡组计算!M16,"【借】"&amp;卡组计算!P16),IF(路线!C4&gt;=1,"【借】"&amp;卡组计算!M16,"【借】"&amp;卡组计算!P16)))</f>
        <v>【借】きゅる～んωポーズッ☆（可爱pose）</v>
      </c>
      <c r="L19" s="3"/>
      <c r="M19" s="3"/>
      <c r="N19" s="3"/>
      <c r="O19" s="87">
        <f>ROUNDUP(VLOOKUP(MID(K19,4,LEN(K19)),第二属性比较!A2:PJ1100,10,FALSE),0)-O5</f>
        <v>-31</v>
      </c>
      <c r="P19" s="3"/>
      <c r="Q19" s="97" t="str">
        <f>IF(路线!B1="红",IF(路线!C2&gt;=1,"【借】"&amp;卡组计算!M10,"【借】"&amp;卡组计算!P10),IF(路线!B1="蓝",IF(路线!C3&gt;=1,"【借】"&amp;卡组计算!M10,"【借】"&amp;卡组计算!P10),IF(路线!C4&gt;=1,"【借】"&amp;卡组计算!M10,"【借】"&amp;卡组计算!P10)))</f>
        <v>【借】まるで王子様みたいな（王子）</v>
      </c>
      <c r="R19" s="3"/>
      <c r="S19" s="3"/>
      <c r="T19" s="3"/>
      <c r="U19" s="87">
        <f>ROUNDUP(VLOOKUP(MID(Q19,4,LEN(Q19)),第一属性比较!A2:J999,10,FALSE),0)-U5</f>
        <v>-25</v>
      </c>
      <c r="V19" s="3"/>
      <c r="W19" s="87" t="str">
        <f>IF(路线!B2="红",IF(路线!C2&gt;=2,"【借】"&amp;卡组计算!M16,"【借】"&amp;卡组计算!P16),IF(路线!B2="蓝",IF(路线!C3&gt;=2,"【借】"&amp;卡组计算!M16,"【借】"&amp;卡组计算!P16),IF(路线!C4&gt;=2,"【借】"&amp;卡组计算!M16,"【借】"&amp;卡组计算!P16)))</f>
        <v>【借】夏を満喫するわよ！（水枪）</v>
      </c>
      <c r="X19" s="3"/>
      <c r="Y19" s="3"/>
      <c r="Z19" s="3"/>
      <c r="AA19" s="87">
        <f>ROUNDUP(VLOOKUP(MID(W19,4,LEN(W19)),第二属性比较!A2:J1100,10,FALSE),0)-AA5</f>
        <v>-39</v>
      </c>
      <c r="AB19" s="87"/>
      <c r="AC19" s="87" t="str">
        <f>IF(路线!B2="红",IF(路线!C2&gt;=2,"【借】"&amp;卡组计算!M16,"【借】"&amp;卡组计算!P17),IF(路线!B2="蓝",IF(路线!C3&gt;=2,"【借】"&amp;卡组计算!M16,"【借】"&amp;卡组计算!P17),IF(路线!C4&gt;=2,"【借】"&amp;卡组计算!M16,"【借】"&amp;卡组计算!P17)))</f>
        <v>【借】これが私達の、3年間（蓝书签）</v>
      </c>
      <c r="AD19" s="3"/>
      <c r="AE19" s="3"/>
      <c r="AF19" s="3"/>
      <c r="AG19" s="87">
        <f>ROUNDUP(VLOOKUP(MID(AC19,4,LEN(AC19)),第二属性比较!A2:J1100,10,FALSE),0)-AG5</f>
        <v>-57</v>
      </c>
    </row>
    <row r="20" spans="4:33" ht="19" customHeight="1" x14ac:dyDescent="0.3">
      <c r="D20" s="3"/>
      <c r="E20" s="87" t="str">
        <f>IF(路线!B2="红",IF(路线!C2&gt;=2,"【借】"&amp;卡组计算!M16,"【借】"&amp;卡组计算!P16),IF(路线!B2="蓝",IF(路线!C3&gt;=2,"【借】"&amp;卡组计算!M16,"【借】"&amp;卡组计算!P16),IF(路线!C4&gt;=2,"【借】"&amp;卡组计算!M16,"【借】"&amp;卡组计算!P16)))</f>
        <v>【借】夏を満喫するわよ！（水枪）</v>
      </c>
      <c r="F20" s="3"/>
      <c r="G20" s="3"/>
      <c r="H20" s="3"/>
      <c r="I20" s="87">
        <f>ROUNDUP(VLOOKUP(MID(E20,4,LEN(E20)),第二属性比较!A2:J1100,10,FALSE),0)-I6</f>
        <v>-39</v>
      </c>
      <c r="J20" s="3"/>
      <c r="K20" s="87" t="str">
        <f>IF(路线!B2="红",IF(路线!C2&gt;=2,"【借】"&amp;卡组计算!M16,"【借】"&amp;卡组计算!P16),IF(路线!B2="蓝",IF(路线!C3&gt;=2,"【借】"&amp;卡组计算!M16,"【借】"&amp;卡组计算!P16),IF(路线!C4&gt;=2,"【借】"&amp;卡组计算!M16,"【借】"&amp;卡组计算!P16)))</f>
        <v>【借】夏を満喫するわよ！（水枪）</v>
      </c>
      <c r="L20" s="3"/>
      <c r="M20" s="3"/>
      <c r="N20" s="3"/>
      <c r="O20" s="87">
        <f>ROUNDUP(VLOOKUP(MID(K20,4,LEN(K20)),第二属性比较!A2:J1100,10,FALSE),0)-O6</f>
        <v>-39</v>
      </c>
      <c r="P20" s="3"/>
      <c r="Q20" s="87" t="str">
        <f>IF(路线!B1="红",IF(路线!C2&gt;=2,"【借】"&amp;卡组计算!M10,"【借】"&amp;卡组计算!P10),IF(路线!B1="蓝",IF(路线!C3&gt;=2,"【借】"&amp;卡组计算!M10,"【借】"&amp;卡组计算!P10),IF(路线!C4&gt;=2,"【借】"&amp;卡组计算!M10,"【借】"&amp;卡组计算!P10)))</f>
        <v>【借】かちこちストレッチ（菲柱体前屈）</v>
      </c>
      <c r="R20" s="3"/>
      <c r="S20" s="3"/>
      <c r="T20" s="3"/>
      <c r="U20" s="87">
        <f>ROUNDUP(VLOOKUP(MID(Q20,4,LEN(Q20)),第一属性比较!A2:J999,10,FALSE),0)-U6</f>
        <v>-70</v>
      </c>
      <c r="V20" s="3"/>
      <c r="W20" s="87" t="str">
        <f>"【借】"&amp;卡组计算!D21</f>
        <v>【借】海、楽しまなきゃ！（sr红睡）</v>
      </c>
      <c r="X20" s="3"/>
      <c r="Y20" s="3"/>
      <c r="Z20" s="3"/>
      <c r="AA20" s="87">
        <f>ROUNDUP(VLOOKUP(MID(W20,4,LEN(W20)),第三属性比较!A2:J999,10,FALSE),0)-AA6</f>
        <v>-13</v>
      </c>
      <c r="AB20" s="87"/>
      <c r="AC20" s="87" t="str">
        <f>IF(路线!B2="红",IF(路线!C2&gt;=3,"【借】"&amp;卡组计算!M16,"【借】"&amp;卡组计算!P17),IF(路线!B2="蓝",IF(路线!C3&gt;=3,"【借】"&amp;卡组计算!M16,"【借】"&amp;卡组计算!P17),IF(路线!C4&gt;=3,"【借】"&amp;卡组计算!M16,"【借】"&amp;卡组计算!P17)))</f>
        <v>【借】これが私達の、3年間（蓝书签）</v>
      </c>
      <c r="AD20" s="3"/>
      <c r="AE20" s="3"/>
      <c r="AF20" s="3"/>
      <c r="AG20" s="87">
        <f>ROUNDUP(VLOOKUP(MID(AC20,4,LEN(AC20)),第二属性比较!A2:J1100,10,FALSE),0)-AG6</f>
        <v>-28</v>
      </c>
    </row>
    <row r="21" spans="4:33" ht="19" customHeight="1" x14ac:dyDescent="0.3">
      <c r="D21" s="3"/>
      <c r="E21" s="87" t="str">
        <f>IF(路线!B2="红",IF(路线!C2&gt;=3,"【借】"&amp;卡组计算!M16,"【借】"&amp;卡组计算!P16),IF(路线!B2="蓝",IF(路线!C3&gt;=3,"【借】"&amp;卡组计算!M16,"【借】"&amp;卡组计算!P16),IF(路线!C4&gt;=3,"【借】"&amp;卡组计算!M16,"【借】"&amp;卡组计算!P16)))</f>
        <v>【借】夏を満喫するわよ！（水枪）</v>
      </c>
      <c r="F21" s="3"/>
      <c r="G21" s="3"/>
      <c r="H21" s="3"/>
      <c r="I21" s="87">
        <f>ROUNDUP(VLOOKUP(MID(E21,4,LEN(E21)),第二属性比较!A2:J1100,10,FALSE),0)-I7</f>
        <v>-10</v>
      </c>
      <c r="J21" s="3"/>
      <c r="K21" s="87" t="str">
        <f>"【借】"&amp;卡组计算!D20</f>
        <v>【借】屈辱の2位（马给马给）</v>
      </c>
      <c r="L21" s="3"/>
      <c r="M21" s="3"/>
      <c r="N21" s="3"/>
      <c r="O21" s="87">
        <f>ROUNDUP(VLOOKUP(MID(K21,4,LEN(K21)),第三属性比较!A2:J999,10,FALSE),0)-O7</f>
        <v>-10</v>
      </c>
      <c r="P21" s="3"/>
      <c r="Q21" s="87" t="str">
        <f>"【借】"&amp;卡组计算!D20</f>
        <v>【借】屈辱の2位（马给马给）</v>
      </c>
      <c r="R21" s="3"/>
      <c r="S21" s="3"/>
      <c r="T21" s="3"/>
      <c r="U21" s="87">
        <f>ROUNDUP(VLOOKUP(MID(Q21,4,LEN(Q21)),第三属性比较!A2:J999,10,FALSE),0)-U7</f>
        <v>-10</v>
      </c>
      <c r="V21" s="3"/>
      <c r="W21" s="87" t="str">
        <f>"【借】"&amp;卡组计算!D21</f>
        <v>【借】海、楽しまなきゃ！（sr红睡）</v>
      </c>
      <c r="X21" s="3"/>
      <c r="Y21" s="3"/>
      <c r="Z21" s="3"/>
      <c r="AA21" s="87">
        <f>ROUNDUP(VLOOKUP(MID(W21,4,LEN(W21)),第三属性比较!A2:J999,10,FALSE),0)-AA7</f>
        <v>-3</v>
      </c>
      <c r="AB21" s="87"/>
      <c r="AC21" s="87" t="str">
        <f>"【借】"&amp;卡组计算!P17</f>
        <v>【借】これが私達の、3年間（蓝书签）</v>
      </c>
      <c r="AD21" s="3"/>
      <c r="AE21" s="3"/>
      <c r="AF21" s="3"/>
      <c r="AG21" s="87">
        <f>ROUNDUP(VLOOKUP(MID(AC21,4,LEN(AC21)),第二属性比较!A2:J1100,10,FALSE),0)-AG7</f>
        <v>-18</v>
      </c>
    </row>
    <row r="22" spans="4:33" ht="19" customHeight="1" x14ac:dyDescent="0.3">
      <c r="D22" s="87" t="s">
        <v>354</v>
      </c>
      <c r="E22" s="87" t="str">
        <f t="array" ref="E22">INDEX(E10:E21,MATCH(MAX(I10:I21),I10:I21,0))</f>
        <v>【借】新たな挑戦の成功ですわ！（黄书签）</v>
      </c>
      <c r="F22" s="3"/>
      <c r="G22" s="3"/>
      <c r="H22" s="3"/>
      <c r="I22" s="87">
        <f>MATCH(MAX(I10:I21),I10:I21,0)+ROW(E10)-10</f>
        <v>1</v>
      </c>
      <c r="J22" s="3"/>
      <c r="K22" s="87" t="str">
        <f t="array" ref="K22">INDEX(K10:K21,MATCH(MAX(O10:O21),O10:O21,0))</f>
        <v>【借】新たな挑戦の成功ですわ！（黄书签）</v>
      </c>
      <c r="L22" s="3"/>
      <c r="M22" s="3"/>
      <c r="N22" s="3"/>
      <c r="O22" s="87">
        <f>MATCH(MAX(O10:O21),O10:O21,0)+ROW(K10)-10</f>
        <v>1</v>
      </c>
      <c r="P22" s="3"/>
      <c r="Q22" s="87" t="str">
        <f t="array" ref="Q22">INDEX(Q10:Q21,MATCH(MAX(U10:U21),U10:U21,0))</f>
        <v>【借】そろそろ焼けたかな？（红薯）</v>
      </c>
      <c r="R22" s="3"/>
      <c r="S22" s="3"/>
      <c r="T22" s="3"/>
      <c r="U22" s="87">
        <f>MATCH(MAX(U10:U21),U10:U21,0)+ROW(Q10)-10</f>
        <v>1</v>
      </c>
      <c r="V22" s="3"/>
      <c r="W22" s="87" t="str">
        <f t="array" ref="W22">INDEX(W10:W21,MATCH(MAX(AA10:AA21),AA10:AA21,0))</f>
        <v>【借】新たな挑戦の成功ですわ！（黄书签）</v>
      </c>
      <c r="X22" s="3"/>
      <c r="Y22" s="3"/>
      <c r="Z22" s="3"/>
      <c r="AA22" s="87">
        <f>MATCH(MAX(AA10:AA21),AA10:AA21,0)+ROW(W10)-10</f>
        <v>1</v>
      </c>
      <c r="AB22" s="87"/>
      <c r="AC22" s="87" t="str">
        <f t="array" ref="AC22">INDEX(AC10:AC21,MATCH(MAX(AG10:AG21),AG10:AG21,0))</f>
        <v>【借】新たな挑戦の成功ですわ！（黄书签）</v>
      </c>
      <c r="AD22" s="3"/>
      <c r="AE22" s="3"/>
      <c r="AF22" s="3"/>
      <c r="AG22" s="87">
        <f>MATCH(MAX(AG10:AG21),AG10:AG21,0)+ROW(AC10)-10</f>
        <v>1</v>
      </c>
    </row>
    <row r="23" spans="4:33" ht="19" customHeight="1" x14ac:dyDescent="0.3">
      <c r="D23" s="87" t="s">
        <v>355</v>
      </c>
      <c r="E23" s="139" t="str">
        <f>IF(I22=1,E10,IF(I22=7,E16,E2))</f>
        <v>【借】新たな挑戦の成功ですわ！（黄书签）</v>
      </c>
      <c r="F23" s="139"/>
      <c r="G23" s="139"/>
      <c r="H23" s="139"/>
      <c r="I23" s="87">
        <f>IF(OR(I22=1,I22=7),ROUNDUP(VLOOKUP(MID(E23,4,LEN(E23)),第一属性比较!A2:J999,10,FALSE),0),ROUNDUP(VLOOKUP(E23,第一属性比较!A2:D999,4,FALSE),0))</f>
        <v>229</v>
      </c>
      <c r="J23" s="3"/>
      <c r="K23" s="139" t="str">
        <f>IF(O22=1,K10,IF(O22=7,K16,K2))</f>
        <v>【借】新たな挑戦の成功ですわ！（黄书签）</v>
      </c>
      <c r="L23" s="139"/>
      <c r="M23" s="139"/>
      <c r="N23" s="139"/>
      <c r="O23" s="87">
        <f>IF(OR(O22=1,O22=7),ROUNDUP(VLOOKUP(MID(K23,4,LEN(K23)),第一属性比较!A2:J999,10,FALSE),0),ROUNDUP(VLOOKUP(K23,第一属性比较!A2:D999,4,FALSE),0))</f>
        <v>229</v>
      </c>
      <c r="P23" s="3"/>
      <c r="Q23" s="139" t="str">
        <f>IF(U22=1,Q10,IF(U22=7,Q16,Q2))</f>
        <v>【借】そろそろ焼けたかな？（红薯）</v>
      </c>
      <c r="R23" s="139"/>
      <c r="S23" s="139"/>
      <c r="T23" s="139"/>
      <c r="U23" s="87">
        <f>IF(OR(U22=1,U22=7),ROUNDUP(VLOOKUP(MID(Q23,4,LEN(Q23)),第二属性比较!A2:J1100,10,FALSE),0),ROUNDUP(VLOOKUP(Q23,第二属性比较!A2:D1100,4,FALSE),0))</f>
        <v>222</v>
      </c>
      <c r="V23" s="3"/>
      <c r="W23" s="139" t="str">
        <f>IF(AA22=1,W10,IF(AA22=7,W16,W2))</f>
        <v>【借】新たな挑戦の成功ですわ！（黄书签）</v>
      </c>
      <c r="X23" s="139"/>
      <c r="Y23" s="139"/>
      <c r="Z23" s="139"/>
      <c r="AA23" s="87">
        <f>IF(OR(AA22=1,AA22=7),ROUNDUP(VLOOKUP(MID(W23,4,LEN(W23)),第一属性比较!A2:J999,10,FALSE),0),ROUNDUP(VLOOKUP(W23,第一属性比较!A2:D999,4,FALSE),0))</f>
        <v>229</v>
      </c>
      <c r="AB23" s="87"/>
      <c r="AC23" s="139" t="str">
        <f>IF(AG22=1,AC10,IF(AG22=7,AC16,AC2))</f>
        <v>【借】新たな挑戦の成功ですわ！（黄书签）</v>
      </c>
      <c r="AD23" s="139"/>
      <c r="AE23" s="139"/>
      <c r="AF23" s="139"/>
      <c r="AG23" s="87">
        <f>IF(OR(AG22=1,AG22=7),ROUNDUP(VLOOKUP(MID(AC23,4,LEN(AC23)),第一属性比较!A2:J999,10,FALSE),0),ROUNDUP(VLOOKUP(AC23,第一属性比较!A2:D999,4,FALSE),0))</f>
        <v>229</v>
      </c>
    </row>
    <row r="24" spans="4:33" ht="19" customHeight="1" x14ac:dyDescent="0.3">
      <c r="D24" s="3"/>
      <c r="E24" s="139" t="str">
        <f>IF(I22=2,E11,IF(I22=8,E17,E3))</f>
        <v>推し活なひととき、だね！（猫头鹰）</v>
      </c>
      <c r="F24" s="139"/>
      <c r="G24" s="139"/>
      <c r="H24" s="139"/>
      <c r="I24" s="87">
        <f>IF(OR(I22=2,I22=8),ROUNDUP(VLOOKUP(MID(E24,4,LEN(E24)),第一属性比较!A2:J999,10,FALSE),0),ROUNDUP(VLOOKUP(E24,第一属性比较!A2:D999,4,FALSE),0))</f>
        <v>301</v>
      </c>
      <c r="J24" s="3"/>
      <c r="K24" s="139" t="str">
        <f>IF(O22=2,K11,IF(O22=8,K17,K3))</f>
        <v>推し活なひととき、だね！（猫头鹰）</v>
      </c>
      <c r="L24" s="139"/>
      <c r="M24" s="139"/>
      <c r="N24" s="139"/>
      <c r="O24" s="87">
        <f>IF(OR(O22=2,O22=8),ROUNDUP(VLOOKUP(MID(K24,4,LEN(K24)),第一属性比较!A2:J999,10,FALSE),0),ROUNDUP(VLOOKUP(K24,第一属性比较!A2:D999,4,FALSE),0))</f>
        <v>301</v>
      </c>
      <c r="P24" s="3"/>
      <c r="Q24" s="139" t="str">
        <f>IF(U22=2,Q11,IF(U22=8,Q17,Q3))</f>
        <v>利用し合うのが友達！（黄毛摸鱼）</v>
      </c>
      <c r="R24" s="139"/>
      <c r="S24" s="139"/>
      <c r="T24" s="139"/>
      <c r="U24" s="87">
        <f>IF(OR(U22=2,U22=8),ROUNDUP(VLOOKUP(MID(Q24,4,LEN(Q24)),第二属性比较!A2:J1100,10,FALSE),0),ROUNDUP(VLOOKUP(Q24,第二属性比较!A2:D1100,4,FALSE),0))</f>
        <v>254</v>
      </c>
      <c r="V24" s="3"/>
      <c r="W24" s="139" t="str">
        <f>IF(AA22=2,W11,IF(AA22=8,W17,W3))</f>
        <v>推し活なひととき、だね！（猫头鹰）</v>
      </c>
      <c r="X24" s="139"/>
      <c r="Y24" s="139"/>
      <c r="Z24" s="139"/>
      <c r="AA24" s="87">
        <f>IF(OR(AA22=2,AA22=8),ROUNDUP(VLOOKUP(MID(W24,4,LEN(W24)),第一属性比较!A2:J999,10,FALSE),0),ROUNDUP(VLOOKUP(W24,第一属性比较!A2:D999,4,FALSE),0))</f>
        <v>301</v>
      </c>
      <c r="AB24" s="87"/>
      <c r="AC24" s="139" t="str">
        <f>IF(AG22=2,AC11,IF(AG22=8,AC17,AC3))</f>
        <v>推し活なひととき、だね！（猫头鹰）</v>
      </c>
      <c r="AD24" s="139"/>
      <c r="AE24" s="139"/>
      <c r="AF24" s="139"/>
      <c r="AG24" s="87">
        <f>IF(OR(AG22=2,AG22=8),ROUNDUP(VLOOKUP(MID(AC24,4,LEN(AC24)),第一属性比较!A2:J999,10,FALSE),0),ROUNDUP(VLOOKUP(AC24,第一属性比较!A2:D999,4,FALSE),0))</f>
        <v>301</v>
      </c>
    </row>
    <row r="25" spans="4:33" ht="19" customHeight="1" x14ac:dyDescent="0.3">
      <c r="D25" s="3"/>
      <c r="E25" s="139" t="str">
        <f>IF(I22=3,E12,IF(I22=9,E18,E4))</f>
        <v>ぜったい追いついてやる！（红叶）</v>
      </c>
      <c r="F25" s="139"/>
      <c r="G25" s="139"/>
      <c r="H25" s="139"/>
      <c r="I25" s="87">
        <f>IF(OR(I22=3,I22=9),ROUNDUP(VLOOKUP(MID(E25,4,LEN(E25)),第一属性比较!A2:J999,10,FALSE),0),ROUNDUP(VLOOKUP(E25,第一属性比较!A2:D999,4,FALSE),0))</f>
        <v>269</v>
      </c>
      <c r="J25" s="3"/>
      <c r="K25" s="139" t="str">
        <f>IF(O22=3,K12,IF(O22=9,K18,K4))</f>
        <v>ぜったい追いついてやる！（红叶）</v>
      </c>
      <c r="L25" s="139"/>
      <c r="M25" s="139"/>
      <c r="N25" s="139"/>
      <c r="O25" s="87">
        <f>IF(OR(O22=3,O22=9),ROUNDUP(VLOOKUP(MID(K25,4,LEN(K25)),第一属性比较!A2:J999,10,FALSE),0),ROUNDUP(VLOOKUP(K25,第一属性比较!A2:D999,4,FALSE),0))</f>
        <v>269</v>
      </c>
      <c r="P25" s="3"/>
      <c r="Q25" s="139" t="str">
        <f>IF(U22=3,Q12,IF(U22=9,Q18,Q4))</f>
        <v>千奈の恩返し（恩返）</v>
      </c>
      <c r="R25" s="139"/>
      <c r="S25" s="139"/>
      <c r="T25" s="139"/>
      <c r="U25" s="87">
        <f>IF(OR(U22=3,U22=9),ROUNDUP(VLOOKUP(MID(Q25,4,LEN(Q25)),第二属性比较!A2:J1100,10,FALSE),0),ROUNDUP(VLOOKUP(Q25,第二属性比较!A2:D1100,4,FALSE),0))</f>
        <v>225</v>
      </c>
      <c r="V25" s="3"/>
      <c r="W25" s="139" t="str">
        <f>IF(AA22=3,W12,IF(AA22=9,W18,W4))</f>
        <v>そろそろ焼けたかな？（红薯）</v>
      </c>
      <c r="X25" s="139"/>
      <c r="Y25" s="139"/>
      <c r="Z25" s="139"/>
      <c r="AA25" s="87">
        <f>IF(OR(AA22=3,AA22=9),ROUNDUP(VLOOKUP(MID(W25,4,LEN(W25)),第二属性比较!A2:J1100,10,FALSE),0),ROUNDUP(VLOOKUP(W25,第二属性比较!A2:D1100,4,FALSE),0))</f>
        <v>222</v>
      </c>
      <c r="AB25" s="87"/>
      <c r="AC25" s="140" t="str">
        <f>IF(AG22=3,AC12,IF(AG22=9,AC18,AC4))</f>
        <v>そろそろ焼けたかな？（红薯）</v>
      </c>
      <c r="AD25" s="140"/>
      <c r="AE25" s="140"/>
      <c r="AF25" s="140"/>
      <c r="AG25" s="87">
        <f>IF(OR(AG22=3,AG22=9),ROUNDUP(VLOOKUP(MID(AC25,4,LEN(AC25)),第二属性比较!A2:J1100,10,FALSE),0),ROUNDUP(VLOOKUP(AC25,第二属性比较!A2:D1100,4,FALSE),0))</f>
        <v>222</v>
      </c>
    </row>
    <row r="26" spans="4:33" ht="19" customHeight="1" x14ac:dyDescent="0.3">
      <c r="D26" s="3"/>
      <c r="E26" s="139" t="str">
        <f>IF(I22=4,E13,IF(I22=10,E19,E5))</f>
        <v>そろそろ焼けたかな？（红薯）</v>
      </c>
      <c r="F26" s="139"/>
      <c r="G26" s="139"/>
      <c r="H26" s="139"/>
      <c r="I26" s="87">
        <f>IF(OR(I22=4,I22=10),ROUNDUP(VLOOKUP(MID(E26,4,LEN(E26)),第二属性比较!A2:J1100,10,FALSE),0),ROUNDUP(VLOOKUP(E26,第二属性比较!A2:D1100,4,FALSE),0))</f>
        <v>222</v>
      </c>
      <c r="J26" s="3"/>
      <c r="K26" s="139" t="str">
        <f>IF(O22=4,K13,IF(O22=10,K19,K5))</f>
        <v>そろそろ焼けたかな？（红薯）</v>
      </c>
      <c r="L26" s="139"/>
      <c r="M26" s="139"/>
      <c r="N26" s="139"/>
      <c r="O26" s="87">
        <f>IF(OR(O22=4,O22=10),ROUNDUP(VLOOKUP(MID(K26,4,LEN(K26)),第二属性比较!A2:J1100,10,FALSE),0),ROUNDUP(VLOOKUP(K26,第二属性比较!A2:D1100,4,FALSE),0))</f>
        <v>222</v>
      </c>
      <c r="P26" s="3"/>
      <c r="Q26" s="139" t="str">
        <f>IF(U22=4,Q13,IF(U22=10,Q19,Q5))</f>
        <v>新たな挑戦の成功ですわ！（黄书签）</v>
      </c>
      <c r="R26" s="139"/>
      <c r="S26" s="139"/>
      <c r="T26" s="139"/>
      <c r="U26" s="87">
        <f>IF(OR(U22=4,U22=10),ROUNDUP(VLOOKUP(MID(Q26,4,LEN(Q26)),第一属性比较!A2:J999,10,FALSE),0),ROUNDUP(VLOOKUP(Q26,第一属性比较!A2:D999,4,FALSE),0))</f>
        <v>229</v>
      </c>
      <c r="V26" s="3"/>
      <c r="W26" s="139" t="str">
        <f>IF(AA22=4,W13,IF(AA22=10,W19,W5))</f>
        <v>利用し合うのが友達！（黄毛摸鱼）</v>
      </c>
      <c r="X26" s="139"/>
      <c r="Y26" s="139"/>
      <c r="Z26" s="139"/>
      <c r="AA26" s="87">
        <f>IF(OR(AA22=4,AA22=10),ROUNDUP(VLOOKUP(MID(W26,4,LEN(W26)),第二属性比较!A2:J1100,10,FALSE),0),ROUNDUP(VLOOKUP(W26,第二属性比较!A2:D1100,4,FALSE),0))</f>
        <v>254</v>
      </c>
      <c r="AB26" s="87"/>
      <c r="AC26" s="139" t="str">
        <f>IF(AG22=4,AC13,IF(AG22=10,AC19,AC5))</f>
        <v>利用し合うのが友達！（黄毛摸鱼）</v>
      </c>
      <c r="AD26" s="139"/>
      <c r="AE26" s="139"/>
      <c r="AF26" s="139"/>
      <c r="AG26" s="87">
        <f>IF(OR(AG22=4,AG22=10),ROUNDUP(VLOOKUP(MID(AC26,4,LEN(AC26)),第二属性比较!A2:J1100,10,FALSE),0),ROUNDUP(VLOOKUP(AC26,第二属性比较!A2:D1100,4,FALSE),0))</f>
        <v>254</v>
      </c>
    </row>
    <row r="27" spans="4:33" ht="19" customHeight="1" x14ac:dyDescent="0.3">
      <c r="D27" s="3"/>
      <c r="E27" s="139" t="str">
        <f>IF(I22=5,E14,IF(I22=11,E20,E6))</f>
        <v>利用し合うのが友達！（黄毛摸鱼）</v>
      </c>
      <c r="F27" s="139"/>
      <c r="G27" s="139"/>
      <c r="H27" s="139"/>
      <c r="I27" s="87">
        <f>IF(OR(I22=5,I22=11),ROUNDUP(VLOOKUP(MID(E27,4,LEN(E27)),第二属性比较!A2:J1100,10,FALSE),0),ROUNDUP(VLOOKUP(E27,第二属性比较!A2:D1100,4,FALSE),0))</f>
        <v>254</v>
      </c>
      <c r="J27" s="3"/>
      <c r="K27" s="139" t="str">
        <f>IF(O22=5,K14,IF(O22=11,K20,K6))</f>
        <v>利用し合うのが友達！（黄毛摸鱼）</v>
      </c>
      <c r="L27" s="139"/>
      <c r="M27" s="139"/>
      <c r="N27" s="139"/>
      <c r="O27" s="87">
        <f>IF(OR(O22=5,O22=11),ROUNDUP(VLOOKUP(MID(K27,4,LEN(K27)),第二属性比较!A2:J1100,10,FALSE),0),ROUNDUP(VLOOKUP(K27,第二属性比较!A2:D1100,4,FALSE),0))</f>
        <v>254</v>
      </c>
      <c r="P27" s="3"/>
      <c r="Q27" s="139" t="str">
        <f>IF(U22=5,Q14,IF(U22=11,Q20,Q6))</f>
        <v>推し活なひととき、だね！（猫头鹰）</v>
      </c>
      <c r="R27" s="139"/>
      <c r="S27" s="139"/>
      <c r="T27" s="139"/>
      <c r="U27" s="87">
        <f>IF(OR(U22=5,U22=11),ROUNDUP(VLOOKUP(MID(Q27,4,LEN(Q27)),第一属性比较!A2:J999,10,FALSE),0),ROUNDUP(VLOOKUP(Q27,第一属性比较!A2:D999,4,FALSE),0))</f>
        <v>301</v>
      </c>
      <c r="V27" s="3"/>
      <c r="W27" s="139" t="str">
        <f>IF(AA22=5,W14,IF(AA22=11,W20,W6))</f>
        <v>2名様、ご案内～♪（毛球偷吃）</v>
      </c>
      <c r="X27" s="139"/>
      <c r="Y27" s="139"/>
      <c r="Z27" s="139"/>
      <c r="AA27" s="87">
        <f>IF(OR(AA22=5,AA22=11),ROUNDUP(VLOOKUP(MID(W27,4,LEN(W27)),第三属性比较!A2:J999,10,FALSE),0),ROUNDUP(VLOOKUP(W27,第三属性比较!A2:D999,4,FALSE),0))</f>
        <v>182</v>
      </c>
      <c r="AB27" s="87"/>
      <c r="AC27" s="139" t="str">
        <f>IF(AG22=5,AC14,IF(AG22=11,AC20,AC6))</f>
        <v>千奈の恩返し（恩返）</v>
      </c>
      <c r="AD27" s="139"/>
      <c r="AE27" s="139"/>
      <c r="AF27" s="139"/>
      <c r="AG27" s="87">
        <f>IF(OR(AG22=5,AG22=11),ROUNDUP(VLOOKUP(MID(AC27,4,LEN(AC27)),第二属性比较!A2:J1100,10,FALSE),0),ROUNDUP(VLOOKUP(AC27,第二属性比较!A2:D1100,4,FALSE),0))</f>
        <v>225</v>
      </c>
    </row>
    <row r="28" spans="4:33" ht="19" customHeight="1" x14ac:dyDescent="0.3">
      <c r="D28" s="3"/>
      <c r="E28" s="139" t="str">
        <f>IF(I22=6,E15,IF(I22=12,E21,E7))</f>
        <v>千奈の恩返し（恩返）</v>
      </c>
      <c r="F28" s="139"/>
      <c r="G28" s="139"/>
      <c r="H28" s="139"/>
      <c r="I28" s="87">
        <f>IF(OR(I22=6,I22=12),ROUNDUP(VLOOKUP(MID(E28,4,LEN(E28)),第二属性比较!A2:J1100,10,FALSE),0),ROUNDUP(VLOOKUP(E28,第二属性比较!A2:D1100,4,FALSE),0))</f>
        <v>225</v>
      </c>
      <c r="J28" s="3"/>
      <c r="K28" s="139" t="str">
        <f>IF(O22=6,K15,IF(O22=12,K21,K7))</f>
        <v>2名様、ご案内～♪（毛球偷吃）</v>
      </c>
      <c r="L28" s="139"/>
      <c r="M28" s="139"/>
      <c r="N28" s="139"/>
      <c r="O28" s="87">
        <f>IF(OR(O22=6,O22=12),ROUNDUP(VLOOKUP(MID(K28,4,LEN(K28)),第三属性比较!A2:J999,10,FALSE),0),ROUNDUP(VLOOKUP(K28,第三属性比较!A2:D999,4,FALSE),0))</f>
        <v>182</v>
      </c>
      <c r="P28" s="3"/>
      <c r="Q28" s="139" t="str">
        <f>IF(U22=6,Q15,IF(U22=12,Q21,Q7))</f>
        <v>2名様、ご案内～♪（毛球偷吃）</v>
      </c>
      <c r="R28" s="139"/>
      <c r="S28" s="139"/>
      <c r="T28" s="139"/>
      <c r="U28" s="87">
        <f>IF(OR(U22=6,U22=12),ROUNDUP(VLOOKUP(MID(Q28,4,LEN(Q28)),第三属性比较!A2:J999,10,FALSE),0),ROUNDUP(VLOOKUP(Q28,第三属性比较!A2:D999,4,FALSE),0))</f>
        <v>182</v>
      </c>
      <c r="V28" s="3"/>
      <c r="W28" s="139" t="str">
        <f>IF(AA22=6,W15,IF(AA22=12,W21,W7))</f>
        <v>屈辱の2位（马给马给）</v>
      </c>
      <c r="X28" s="139"/>
      <c r="Y28" s="139"/>
      <c r="Z28" s="139"/>
      <c r="AA28" s="87">
        <f>IF(OR(AA22=6,AA22=12),ROUNDUP(VLOOKUP(MID(W28,4,LEN(W28)),第三属性比较!A2:J999,10,FALSE),0),ROUNDUP(VLOOKUP(W28,第三属性比较!A2:D999,4,FALSE),0))</f>
        <v>172</v>
      </c>
      <c r="AB28" s="87"/>
      <c r="AC28" s="139" t="str">
        <f>IF(AG22=6,AC15,IF(AG22=12,AC21,AC7))</f>
        <v>夏を満喫するわよ！（水枪）</v>
      </c>
      <c r="AD28" s="139"/>
      <c r="AE28" s="139"/>
      <c r="AF28" s="139"/>
      <c r="AG28" s="87">
        <f>IF(OR(AG22=6,AG22=12),ROUNDUP(VLOOKUP(MID(AC28,4,LEN(AC28)),第二属性比较!A2:J1100,10,FALSE),0),ROUNDUP(VLOOKUP(AC28,第二属性比较!A2:D1100,4,FALSE),0))</f>
        <v>215</v>
      </c>
    </row>
  </sheetData>
  <mergeCells count="60">
    <mergeCell ref="E28:H28"/>
    <mergeCell ref="K28:N28"/>
    <mergeCell ref="Q28:T28"/>
    <mergeCell ref="W28:Z28"/>
    <mergeCell ref="AC28:AF28"/>
    <mergeCell ref="E27:H27"/>
    <mergeCell ref="K27:N27"/>
    <mergeCell ref="Q27:T27"/>
    <mergeCell ref="W27:Z27"/>
    <mergeCell ref="AC27:AF27"/>
    <mergeCell ref="E26:H26"/>
    <mergeCell ref="K26:N26"/>
    <mergeCell ref="Q26:T26"/>
    <mergeCell ref="W26:Z26"/>
    <mergeCell ref="AC26:AF26"/>
    <mergeCell ref="E25:H25"/>
    <mergeCell ref="K25:N25"/>
    <mergeCell ref="Q25:T25"/>
    <mergeCell ref="W25:Z25"/>
    <mergeCell ref="AC25:AF25"/>
    <mergeCell ref="E24:H24"/>
    <mergeCell ref="K24:N24"/>
    <mergeCell ref="Q24:T24"/>
    <mergeCell ref="W24:Z24"/>
    <mergeCell ref="AC24:AF24"/>
    <mergeCell ref="E23:H23"/>
    <mergeCell ref="K23:N23"/>
    <mergeCell ref="Q23:T23"/>
    <mergeCell ref="W23:Z23"/>
    <mergeCell ref="AC23:AF23"/>
    <mergeCell ref="E7:H7"/>
    <mergeCell ref="K7:N7"/>
    <mergeCell ref="Q7:T7"/>
    <mergeCell ref="W7:Z7"/>
    <mergeCell ref="AC7:AF7"/>
    <mergeCell ref="E6:H6"/>
    <mergeCell ref="K6:N6"/>
    <mergeCell ref="Q6:T6"/>
    <mergeCell ref="W6:Z6"/>
    <mergeCell ref="AC6:AF6"/>
    <mergeCell ref="E5:H5"/>
    <mergeCell ref="K5:N5"/>
    <mergeCell ref="Q5:T5"/>
    <mergeCell ref="W5:Z5"/>
    <mergeCell ref="AC5:AF5"/>
    <mergeCell ref="E4:H4"/>
    <mergeCell ref="K4:N4"/>
    <mergeCell ref="Q4:T4"/>
    <mergeCell ref="W4:Z4"/>
    <mergeCell ref="AC4:AF4"/>
    <mergeCell ref="E3:H3"/>
    <mergeCell ref="K3:N3"/>
    <mergeCell ref="Q3:T3"/>
    <mergeCell ref="W3:Z3"/>
    <mergeCell ref="AC3:AF3"/>
    <mergeCell ref="E2:H2"/>
    <mergeCell ref="K2:N2"/>
    <mergeCell ref="Q2:T2"/>
    <mergeCell ref="W2:Z2"/>
    <mergeCell ref="AC2:AF2"/>
  </mergeCells>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95BA-558B-43FF-BAE8-ED35C4B5A9F6}">
  <sheetPr>
    <tabColor rgb="FFFFFFFF"/>
    <outlinePr summaryBelow="0" summaryRight="0"/>
  </sheetPr>
  <dimension ref="A1:B26"/>
  <sheetViews>
    <sheetView workbookViewId="0"/>
  </sheetViews>
  <sheetFormatPr defaultColWidth="14" defaultRowHeight="13" x14ac:dyDescent="0.3"/>
  <cols>
    <col min="1" max="20" width="14" customWidth="1"/>
  </cols>
  <sheetData>
    <row r="1" spans="1:2" ht="19" customHeight="1" x14ac:dyDescent="0.3">
      <c r="A1" s="1" t="s">
        <v>356</v>
      </c>
      <c r="B1" s="1" t="s">
        <v>357</v>
      </c>
    </row>
    <row r="2" spans="1:2" ht="19" customHeight="1" x14ac:dyDescent="0.3">
      <c r="A2" s="1" t="s">
        <v>358</v>
      </c>
      <c r="B2" s="1" t="s">
        <v>359</v>
      </c>
    </row>
    <row r="3" spans="1:2" ht="19" customHeight="1" x14ac:dyDescent="0.3">
      <c r="A3" s="1" t="s">
        <v>360</v>
      </c>
      <c r="B3" s="1" t="s">
        <v>361</v>
      </c>
    </row>
    <row r="4" spans="1:2" ht="19" customHeight="1" x14ac:dyDescent="0.3">
      <c r="A4" s="1" t="s">
        <v>362</v>
      </c>
      <c r="B4" s="1" t="s">
        <v>363</v>
      </c>
    </row>
    <row r="5" spans="1:2" ht="19" customHeight="1" x14ac:dyDescent="0.3">
      <c r="A5" s="1"/>
      <c r="B5" s="1" t="s">
        <v>364</v>
      </c>
    </row>
    <row r="6" spans="1:2" ht="19" customHeight="1" x14ac:dyDescent="0.3">
      <c r="A6" s="1" t="s">
        <v>365</v>
      </c>
      <c r="B6" s="1" t="s">
        <v>366</v>
      </c>
    </row>
    <row r="7" spans="1:2" ht="19" customHeight="1" x14ac:dyDescent="0.3">
      <c r="A7" s="1" t="s">
        <v>367</v>
      </c>
      <c r="B7" s="1" t="s">
        <v>368</v>
      </c>
    </row>
    <row r="8" spans="1:2" ht="19" customHeight="1" x14ac:dyDescent="0.3">
      <c r="A8" s="1" t="s">
        <v>369</v>
      </c>
      <c r="B8" s="1" t="s">
        <v>370</v>
      </c>
    </row>
    <row r="9" spans="1:2" ht="19" customHeight="1" x14ac:dyDescent="0.3">
      <c r="A9" s="1" t="s">
        <v>371</v>
      </c>
      <c r="B9" s="1" t="s">
        <v>372</v>
      </c>
    </row>
    <row r="10" spans="1:2" ht="19" customHeight="1" x14ac:dyDescent="0.3">
      <c r="B10" s="1" t="s">
        <v>373</v>
      </c>
    </row>
    <row r="11" spans="1:2" ht="19" customHeight="1" x14ac:dyDescent="0.3">
      <c r="A11" s="1" t="s">
        <v>374</v>
      </c>
      <c r="B11" s="1" t="s">
        <v>375</v>
      </c>
    </row>
    <row r="12" spans="1:2" ht="19" customHeight="1" x14ac:dyDescent="0.3">
      <c r="A12" s="1" t="s">
        <v>376</v>
      </c>
      <c r="B12" s="1" t="s">
        <v>377</v>
      </c>
    </row>
    <row r="13" spans="1:2" ht="19" customHeight="1" x14ac:dyDescent="0.3">
      <c r="A13" s="1" t="s">
        <v>378</v>
      </c>
      <c r="B13" s="1" t="s">
        <v>379</v>
      </c>
    </row>
    <row r="14" spans="1:2" ht="19" customHeight="1" x14ac:dyDescent="0.3">
      <c r="A14" s="1" t="s">
        <v>380</v>
      </c>
      <c r="B14" s="1" t="s">
        <v>381</v>
      </c>
    </row>
    <row r="15" spans="1:2" ht="19" customHeight="1" x14ac:dyDescent="0.3">
      <c r="B15" s="1" t="s">
        <v>382</v>
      </c>
    </row>
    <row r="16" spans="1:2" ht="19" customHeight="1" x14ac:dyDescent="0.3">
      <c r="A16" s="1" t="s">
        <v>383</v>
      </c>
      <c r="B16" s="1" t="s">
        <v>384</v>
      </c>
    </row>
    <row r="17" spans="2:2" ht="19" customHeight="1" x14ac:dyDescent="0.3">
      <c r="B17" s="1" t="s">
        <v>385</v>
      </c>
    </row>
    <row r="18" spans="2:2" ht="19" customHeight="1" x14ac:dyDescent="0.3">
      <c r="B18" s="1" t="s">
        <v>386</v>
      </c>
    </row>
    <row r="19" spans="2:2" ht="19" customHeight="1" x14ac:dyDescent="0.3">
      <c r="B19" s="1" t="s">
        <v>387</v>
      </c>
    </row>
    <row r="20" spans="2:2" ht="19" customHeight="1" x14ac:dyDescent="0.3"/>
    <row r="21" spans="2:2" ht="19" customHeight="1" x14ac:dyDescent="0.3"/>
    <row r="22" spans="2:2" ht="19" customHeight="1" x14ac:dyDescent="0.3"/>
    <row r="23" spans="2:2" ht="19" customHeight="1" x14ac:dyDescent="0.3"/>
    <row r="24" spans="2:2" ht="19" customHeight="1" x14ac:dyDescent="0.3"/>
    <row r="25" spans="2:2" ht="19" customHeight="1" x14ac:dyDescent="0.3"/>
    <row r="26" spans="2:2" ht="19" customHeight="1" x14ac:dyDescent="0.3"/>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9</vt:i4>
      </vt:variant>
    </vt:vector>
  </HeadingPairs>
  <TitlesOfParts>
    <vt:vector size="9" baseType="lpstr">
      <vt:lpstr>持有情况</vt:lpstr>
      <vt:lpstr>路线</vt:lpstr>
      <vt:lpstr>词条</vt:lpstr>
      <vt:lpstr>第一属性比较</vt:lpstr>
      <vt:lpstr>第二属性比较</vt:lpstr>
      <vt:lpstr>第三属性比较</vt:lpstr>
      <vt:lpstr>卡组计算</vt:lpstr>
      <vt:lpstr>借卡计算</vt:lpstr>
      <vt:lpstr>更新日志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Freezh K</cp:lastModifiedBy>
  <dcterms:modified xsi:type="dcterms:W3CDTF">2025-06-18T03:00:13Z</dcterms:modified>
</cp:coreProperties>
</file>