
<file path=[Content_Types].xml><?xml version="1.0" encoding="utf-8"?>
<Types xmlns="http://schemas.openxmlformats.org/package/2006/content-types">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Default Extension="rels" ContentType="application/vnd.openxmlformats-package.relationships+xml"/>
  <Default Extension="xml" ContentType="application/xml"/>
  <Default Extension="tiff" ContentType="image/tiff"/>
  <Default Extension="jpeg" ContentType="image/jpeg"/>
  <Default Extension="png" ContentType="image/png"/>
  <Default Extension="gif" ContentType="image/gif"/>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windowHeight="15800" windowWidth="28040" xWindow="4240" yWindow="640"/>
  </bookViews>
  <sheets>
    <sheet name="持有情况" sheetId="2" r:id="rId5"/>
    <sheet name="路线" sheetId="3" r:id="rId6"/>
    <sheet name="词条" sheetId="4" r:id="rId7"/>
    <sheet name="第一属性比较" sheetId="5" r:id="rId8"/>
    <sheet name="第二属性比较" sheetId="6" r:id="rId9"/>
    <sheet name="第三属性比较" sheetId="7" r:id="rId10"/>
    <sheet name="卡组计算" sheetId="8" r:id="rId11"/>
    <sheet name="借卡计算" sheetId="9" r:id="rId12"/>
    <sheet name="更新日志" sheetId="10" r:id="rId13"/>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<sst xmlns="http://schemas.openxmlformats.org/spreadsheetml/2006/main" count="1" uniqueCount="1">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</sst>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General"/>
    <numFmt numFmtId="165" formatCode="@"/>
    <numFmt numFmtId="166" formatCode="@"/>
    <numFmt numFmtId="167" formatCode="@"/>
    <numFmt numFmtId="168" formatCode="General"/>
    <numFmt numFmtId="169" formatCode="General"/>
    <numFmt numFmtId="170" formatCode="General"/>
    <numFmt numFmtId="171" formatCode="@"/>
    <numFmt numFmtId="172" formatCode="@"/>
  </numFmts>
  <fonts count="10">
    <font>
      <sz val="10"/>
      <color theme="1"/>
      <name val="Calibri"/>
      <family val="2"/>
      <scheme val="minor"/>
    </font>
    <font>
      <sz val="10.5"/>
      <color rgb="FF000000"/>
      <name val="Calibri"/>
      <family val="2"/>
      <scheme val="minor"/>
    </font>
    <font>
      <sz val="9.75"/>
      <color rgb="FF000000"/>
      <name val="Calibri"/>
      <family val="2"/>
      <scheme val="minor"/>
    </font>
    <font>
      <sz val="10.5"/>
      <color rgb="FF000000"/>
      <name val="Calibri"/>
      <family val="2"/>
      <scheme val="minor"/>
    </font>
    <font>
      <sz val="9.75"/>
      <color rgb="FF000000"/>
      <name val="Calibri"/>
      <family val="2"/>
      <scheme val="minor"/>
    </font>
    <font>
      <sz val="9"/>
      <color rgb="FF000000"/>
      <name val="Calibri"/>
      <family val="2"/>
      <scheme val="minor"/>
    </font>
    <font>
      <sz val="9"/>
      <color rgb="FF000000"/>
      <name val="Calibri"/>
      <family val="2"/>
      <scheme val="minor"/>
    </font>
    <font>
      <b val="true"/>
      <sz val="9.75"/>
      <color rgb="FF000000"/>
      <name val="Calibri"/>
      <family val="2"/>
      <scheme val="minor"/>
    </font>
    <font>
      <sz val="9.75"/>
      <color rgb="FF3370FF"/>
      <name val="Calibri"/>
      <family val="2"/>
      <scheme val="minor"/>
    </font>
    <font>
      <b val="true"/>
      <sz val="18"/>
      <color rgb="FFFF0000"/>
      <name val="Calibri"/>
      <family val="2"/>
      <scheme val="minor"/>
    </font>
  </fonts>
  <fills count="51">
    <fill>
      <patternFill patternType="none">
        <fgColor/>
        <bgColor/>
      </patternFill>
    </fill>
    <fill>
      <patternFill patternType="gray125">
        <fgColor/>
        <bgColor/>
      </patternFill>
    </fill>
    <fill>
      <patternFill patternType="solid">
        <fgColor rgb="FFFFEB9C"/>
        <bgColor/>
      </patternFill>
    </fill>
    <fill>
      <patternFill patternType="solid">
        <fgColor rgb="FFF8CBAD"/>
        <bgColor/>
      </patternFill>
    </fill>
    <fill>
      <patternFill patternType="solid">
        <fgColor rgb="FFC5E0B4"/>
        <bgColor/>
      </patternFill>
    </fill>
    <fill>
      <patternFill patternType="solid">
        <fgColor rgb="FFBDD7EE"/>
        <bgColor/>
      </patternFill>
    </fill>
    <fill>
      <patternFill patternType="solid">
        <fgColor rgb="FFB4C7E7"/>
        <bgColor/>
      </patternFill>
    </fill>
    <fill>
      <patternFill patternType="solid">
        <fgColor rgb="FFAFABAB"/>
        <bgColor/>
      </patternFill>
    </fill>
    <fill>
      <patternFill patternType="solid">
        <fgColor rgb="FFAFABAB"/>
        <bgColor/>
      </patternFill>
    </fill>
    <fill>
      <patternFill patternType="solid">
        <fgColor rgb="FFFFEB9C"/>
        <bgColor/>
      </patternFill>
    </fill>
    <fill>
      <patternFill patternType="solid">
        <fgColor rgb="FFBDD7EE"/>
        <bgColor/>
      </patternFill>
    </fill>
    <fill>
      <patternFill patternType="solid">
        <fgColor rgb="FFF8CBAD"/>
        <bgColor/>
      </patternFill>
    </fill>
    <fill>
      <patternFill patternType="solid">
        <fgColor rgb="FFB4C7E7"/>
        <bgColor/>
      </patternFill>
    </fill>
    <fill>
      <patternFill patternType="solid">
        <fgColor rgb="FFFF0000"/>
        <bgColor/>
      </patternFill>
    </fill>
    <fill>
      <patternFill patternType="solid">
        <fgColor rgb="FF00B0F0"/>
        <bgColor/>
      </patternFill>
    </fill>
    <fill>
      <patternFill patternType="solid">
        <fgColor rgb="FFFFFF00"/>
        <bgColor/>
      </patternFill>
    </fill>
    <fill>
      <patternFill patternType="solid">
        <fgColor rgb="FFFF9C99"/>
        <bgColor/>
      </patternFill>
    </fill>
    <fill>
      <patternFill patternType="solid">
        <fgColor rgb="FF99BEFF"/>
        <bgColor/>
      </patternFill>
    </fill>
    <fill>
      <patternFill patternType="solid">
        <fgColor rgb="FFFFE270"/>
        <bgColor/>
      </patternFill>
    </fill>
    <fill>
      <patternFill patternType="solid">
        <fgColor rgb="FFFF9C99"/>
        <bgColor/>
      </patternFill>
    </fill>
    <fill>
      <patternFill patternType="solid">
        <fgColor rgb="FF99BEFF"/>
        <bgColor/>
      </patternFill>
    </fill>
    <fill>
      <patternFill patternType="solid">
        <fgColor rgb="FFFFE270"/>
        <bgColor/>
      </patternFill>
    </fill>
    <fill>
      <patternFill patternType="solid">
        <fgColor rgb="FFFF9C99"/>
        <bgColor/>
      </patternFill>
    </fill>
    <fill>
      <patternFill patternType="solid">
        <fgColor rgb="FF99BEFF"/>
        <bgColor/>
      </patternFill>
    </fill>
    <fill>
      <patternFill patternType="solid">
        <fgColor rgb="FFFFE270"/>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FFE270"/>
        <bgColor/>
      </patternFill>
    </fill>
    <fill>
      <patternFill patternType="solid">
        <fgColor rgb="FFFF9C99"/>
        <bgColor/>
      </patternFill>
    </fill>
    <fill>
      <patternFill patternType="solid">
        <fgColor rgb="FFFFE270"/>
        <bgColor/>
      </patternFill>
    </fill>
    <fill>
      <patternFill patternType="solid">
        <fgColor rgb="FFFF9C99"/>
        <bgColor/>
      </patternFill>
    </fill>
    <fill>
      <patternFill patternType="solid">
        <fgColor rgb="FFFFEB9C"/>
        <bgColor/>
      </patternFill>
    </fill>
    <fill>
      <patternFill patternType="solid">
        <fgColor rgb="FFDEE0E3"/>
        <bgColor/>
      </patternFill>
    </fill>
    <fill>
      <patternFill patternType="solid">
        <fgColor rgb="FFDEE0E3"/>
        <bgColor/>
      </patternFill>
    </fill>
    <fill>
      <patternFill patternType="solid">
        <fgColor rgb="FFFF9C99"/>
        <bgColor/>
      </patternFill>
    </fill>
    <fill>
      <patternFill patternType="solid">
        <fgColor rgb="FFFFE270"/>
        <bgColor/>
      </patternFill>
    </fill>
    <fill>
      <patternFill patternType="solid">
        <fgColor rgb="FFFFEB9C"/>
        <bgColor/>
      </patternFill>
    </fill>
    <fill>
      <patternFill patternType="solid">
        <fgColor rgb="FFDEE0E3"/>
        <bgColor/>
      </patternFill>
    </fill>
    <fill>
      <patternFill patternType="solid">
        <fgColor rgb="FF99BEFF"/>
        <bgColor/>
      </patternFill>
    </fill>
    <fill>
      <patternFill patternType="solid">
        <fgColor rgb="FF99BEFF"/>
        <bgColor/>
      </patternFill>
    </fill>
    <fill>
      <patternFill patternType="solid">
        <fgColor rgb="FFFF9C99"/>
        <bgColor/>
      </patternFill>
    </fill>
    <fill>
      <patternFill patternType="solid">
        <fgColor rgb="FFFFEEAD"/>
        <bgColor/>
      </patternFill>
    </fill>
    <fill>
      <patternFill patternType="solid">
        <fgColor rgb="FF99BEFF"/>
        <bgColor/>
      </patternFill>
    </fill>
    <fill>
      <patternFill patternType="solid">
        <fgColor rgb="FFFF9C99"/>
        <bgColor/>
      </patternFill>
    </fill>
    <fill>
      <patternFill patternType="solid">
        <fgColor rgb="FFFF9C99"/>
        <bgColor/>
      </patternFill>
    </fill>
    <fill>
      <patternFill patternType="solid">
        <fgColor rgb="FFFFE270"/>
        <bgColor/>
      </patternFill>
    </fill>
    <fill>
      <patternFill patternType="solid">
        <fgColor rgb="FFFF9C99"/>
        <bgColor/>
      </patternFill>
    </fill>
    <fill>
      <patternFill patternType="solid">
        <fgColor rgb="FF99BEFF"/>
        <bgColor/>
      </patternFill>
    </fill>
    <fill>
      <patternFill patternType="solid">
        <fgColor rgb="FFFFE270"/>
        <bgColor/>
      </patternFill>
    </fill>
    <fill>
      <patternFill patternType="solid">
        <fgColor rgb="FF99BEFF"/>
        <bgColor/>
      </patternFill>
    </fill>
  </fills>
  <borders count="126">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diagonal/>
    </border>
    <border>
      <left style="thin">
        <color rgb="FF1F2329"/>
      </left>
      <right style="thin">
        <color rgb="FF1F2329"/>
      </right>
      <top/>
      <bottom/>
      <diagonal/>
    </border>
    <border>
      <left style="thin">
        <color rgb="FF1F2329"/>
      </left>
      <right style="thin">
        <color rgb="FF1F2329"/>
      </right>
      <top/>
      <bottom/>
      <diagonal/>
    </border>
    <border>
      <left/>
      <right style="thin">
        <color rgb="FF1F2329"/>
      </right>
      <top style="thin">
        <color rgb="FF1F2329"/>
      </top>
      <bottom style="thin">
        <color rgb="FF1F2329"/>
      </bottom>
      <diagonal/>
    </border>
    <border>
      <left/>
      <right style="thin">
        <color rgb="FF1F2329"/>
      </right>
      <top/>
      <bottom/>
      <diagonal/>
    </border>
    <border>
      <left style="thin">
        <color rgb="FF1F2329"/>
      </left>
      <right/>
      <top/>
      <bottom/>
      <diagonal/>
    </border>
    <border>
      <left/>
      <right/>
      <top/>
      <bottom/>
      <diagonal/>
    </border>
    <border>
      <left style="thin">
        <color rgb="FF1F2329"/>
      </left>
      <right/>
      <top style="thin">
        <color rgb="FF1F2329"/>
      </top>
      <bottom/>
      <diagonal/>
    </border>
    <border>
      <left/>
      <right/>
      <top style="thin">
        <color rgb="FF1F2329"/>
      </top>
      <bottom/>
      <diagonal/>
    </border>
    <border>
      <left/>
      <right style="thin">
        <color rgb="FF1F2329"/>
      </right>
      <top style="thin">
        <color rgb="FF1F2329"/>
      </top>
      <bottom/>
      <diagonal/>
    </border>
    <border>
      <left/>
      <right/>
      <top/>
      <bottom/>
      <diagonal/>
    </border>
    <border>
      <left/>
      <right/>
      <top style="thin">
        <color rgb="FF1F2329"/>
      </top>
      <bottom style="thin">
        <color rgb="FF1F2329"/>
      </bottom>
      <diagonal/>
    </border>
    <border>
      <left style="thin">
        <color rgb="FF1F2329"/>
      </left>
      <right/>
      <top/>
      <bottom/>
      <diagonal/>
    </border>
    <border>
      <left style="thin">
        <color rgb="FF1F2329"/>
      </left>
      <right/>
      <top style="thin">
        <color rgb="FF1F2329"/>
      </top>
      <bottom style="thin">
        <color rgb="FF1F2329"/>
      </bottom>
      <diagonal/>
    </border>
    <border>
      <left/>
      <right style="thin">
        <color rgb="FF1F2329"/>
      </right>
      <top/>
      <bottom/>
      <diagonal/>
    </border>
    <border>
      <left style="thin">
        <color rgb="FF1F2329"/>
      </left>
      <right/>
      <top/>
      <bottom/>
      <diagonal/>
    </border>
    <border>
      <left/>
      <right/>
      <top/>
      <bottom/>
      <diagonal/>
    </border>
    <border>
      <left/>
      <right style="thin">
        <color rgb="FF1F2329"/>
      </right>
      <top/>
      <bottom/>
      <diagonal/>
    </border>
    <border>
      <left/>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right/>
      <top/>
      <bottom/>
      <diagonal/>
    </border>
    <border>
      <left style="thin">
        <color rgb="FF1F2329"/>
      </left>
      <right style="thin">
        <color rgb="FF1F2329"/>
      </right>
      <top style="thin">
        <color rgb="FF1F2329"/>
      </top>
      <bottom/>
      <diagonal/>
    </border>
    <border>
      <left/>
      <right/>
      <top/>
      <bottom/>
      <diagonal/>
    </border>
    <border>
      <left/>
      <right/>
      <top/>
      <bottom/>
      <diagonal/>
    </border>
    <border>
      <left/>
      <right/>
      <top/>
      <bottom/>
      <diagonal/>
    </border>
    <border>
      <left style="thin">
        <color rgb="FF1F2329"/>
      </left>
      <right/>
      <top/>
      <bottom/>
      <diagonal/>
    </border>
    <border>
      <left/>
      <right style="thin">
        <color rgb="FF1F2329"/>
      </right>
      <top/>
      <bottom/>
      <diagonal/>
    </border>
    <border>
      <left/>
      <right/>
      <top/>
      <bottom/>
      <diagonal/>
    </border>
    <border>
      <left/>
      <right/>
      <top/>
      <bottom/>
      <diagonal/>
    </border>
    <border>
      <left/>
      <right/>
      <top/>
      <bottom/>
      <diagonal/>
    </border>
    <border>
      <left style="thin">
        <color rgb="FF1F2329"/>
      </left>
      <right style="thin">
        <color rgb="FF1F2329"/>
      </right>
      <top style="thin">
        <color rgb="FF1F2329"/>
      </top>
      <bottom/>
      <diagonal/>
    </border>
    <border>
      <left/>
      <right/>
      <top/>
      <bottom/>
      <diagonal/>
    </border>
    <border>
      <left/>
      <right/>
      <top/>
      <bottom/>
      <diagonal/>
    </border>
    <border>
      <left/>
      <right/>
      <top/>
      <bottom/>
      <diagonal/>
    </border>
    <border>
      <left/>
      <right style="thin">
        <color rgb="FF1F2329"/>
      </right>
      <top/>
      <bottom/>
      <diagonal/>
    </border>
    <border>
      <left/>
      <right/>
      <top/>
      <bottom style="thin">
        <color rgb="FF1F2329"/>
      </bottom>
      <diagonal/>
    </border>
    <border>
      <left/>
      <right style="thin">
        <color rgb="FF1F2329"/>
      </right>
      <top/>
      <bottom style="thin">
        <color rgb="FF1F2329"/>
      </bottom>
      <diagonal/>
    </border>
    <border>
      <left style="thin">
        <color rgb="FF1F2329"/>
      </left>
      <right/>
      <top/>
      <bottom style="thin">
        <color rgb="FF1F2329"/>
      </bottom>
      <diagonal/>
    </border>
    <border>
      <left/>
      <right style="thin">
        <color rgb="FF1F2329"/>
      </right>
      <top/>
      <bottom style="thin">
        <color rgb="FF1F2329"/>
      </bottom>
      <diagonal/>
    </border>
    <border>
      <left style="thin">
        <color rgb="FF1F2329"/>
      </left>
      <right/>
      <top/>
      <bottom/>
      <diagonal/>
    </border>
    <border>
      <left/>
      <right/>
      <top/>
      <bottom style="thin">
        <color rgb="FF1F2329"/>
      </bottom>
      <diagonal/>
    </border>
    <border>
      <left/>
      <right/>
      <top/>
      <bottom/>
      <diagonal/>
    </border>
    <border>
      <left/>
      <right/>
      <top/>
      <bottom/>
      <diagonal/>
    </border>
    <border>
      <left/>
      <right/>
      <top/>
      <bottom/>
      <diagonal/>
    </border>
    <border>
      <left style="thin">
        <color rgb="FF1F2329"/>
      </left>
      <right/>
      <top/>
      <bottom style="thin">
        <color rgb="FF1F2329"/>
      </bottom>
      <diagonal/>
    </border>
    <border>
      <left/>
      <right/>
      <top/>
      <bottom/>
      <diagonal/>
    </border>
    <border>
      <left/>
      <right/>
      <top/>
      <bottom/>
      <diagonal/>
    </border>
    <border>
      <left/>
      <right/>
      <top/>
      <bottom/>
      <diagonal/>
    </border>
    <border>
      <left/>
      <right/>
      <top/>
      <bottom/>
      <diagonal/>
    </border>
    <border>
      <left style="thin">
        <color rgb="FF1F2329"/>
      </left>
      <right/>
      <top style="thin">
        <color rgb="FF1F2329"/>
      </top>
      <bottom/>
      <diagonal/>
    </border>
    <border>
      <left/>
      <right/>
      <top/>
      <bottom/>
      <diagonal/>
    </border>
    <border>
      <left/>
      <right/>
      <top/>
      <bottom/>
      <diagonal/>
    </border>
    <border>
      <left/>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right/>
      <top/>
      <bottom/>
      <diagonal/>
    </border>
    <border>
      <left/>
      <right/>
      <top/>
      <bottom/>
      <diagonal/>
    </border>
    <border>
      <left/>
      <right/>
      <top/>
      <bottom/>
      <diagonal/>
    </border>
    <border>
      <left style="thin">
        <color rgb="FF1F2329"/>
      </left>
      <right/>
      <top style="thin">
        <color rgb="FF1F2329"/>
      </top>
      <bottom/>
      <diagonal/>
    </border>
    <border>
      <left/>
      <right/>
      <top style="thin">
        <color rgb="FF1F2329"/>
      </top>
      <bottom/>
      <diagonal/>
    </border>
    <border>
      <left/>
      <right style="thin">
        <color rgb="FF1F2329"/>
      </right>
      <top style="thin">
        <color rgb="FF1F2329"/>
      </top>
      <bottom/>
      <diagonal/>
    </border>
    <border>
      <left/>
      <right/>
      <top style="thin">
        <color rgb="FF1F2329"/>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applyAlignment="true" applyBorder="false" applyFill="false" applyFont="false" applyNumberFormat="false" applyProtection="false" borderId="0" fillId="0" fontId="0" numFmtId="0"/>
  </cellStyleXfs>
  <cellXfs count="126">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1" fillId="0" fontId="1" numFmtId="0" xfId="0">
      <alignment vertical="center"/>
    </xf>
    <xf applyAlignment="true" applyBorder="false" applyFill="false" applyFont="true" applyNumberFormat="false" applyProtection="false" borderId="2" fillId="0" fontId="2" numFmtId="0" xfId="0">
      <alignment vertical="center"/>
    </xf>
    <xf applyAlignment="true" applyBorder="false" applyFill="false" applyFont="true" applyNumberFormat="false" applyProtection="false" borderId="3" fillId="0" fontId="3" numFmtId="0" xfId="0">
      <alignment vertical="center"/>
    </xf>
    <xf applyAlignment="true" applyBorder="false" applyFill="false" applyFont="true" applyNumberFormat="false" applyProtection="false" borderId="4" fillId="0" fontId="4" numFmtId="0" xfId="0">
      <alignment vertical="center"/>
    </xf>
    <xf applyAlignment="true" applyBorder="false" applyFill="false" applyFont="true" applyNumberFormat="false" applyProtection="false" borderId="5" fillId="0" fontId="2" numFmtId="0" xfId="0">
      <alignment horizontal="center" vertical="center"/>
    </xf>
    <xf applyAlignment="true" applyBorder="false" applyFill="false" applyFont="true" applyNumberFormat="false" applyProtection="false" borderId="6" fillId="0" fontId="2" numFmtId="0" xfId="0">
      <alignment horizontal="center" vertical="center"/>
    </xf>
    <xf applyAlignment="true" applyBorder="false" applyFill="true" applyFont="true" applyNumberFormat="false" applyProtection="false" borderId="7" fillId="2" fontId="2" numFmtId="0" xfId="0">
      <alignment vertical="center"/>
    </xf>
    <xf applyAlignment="true" applyBorder="false" applyFill="false" applyFont="true" applyNumberFormat="false" applyProtection="false" borderId="8" fillId="0" fontId="2" numFmtId="0" xfId="0">
      <alignment horizontal="center" vertical="center"/>
    </xf>
    <xf applyAlignment="true" applyBorder="false" applyFill="false" applyFont="true" applyNumberFormat="false" applyProtection="false" borderId="9" fillId="0" fontId="1" numFmtId="0" xfId="0">
      <alignment horizontal="center" vertical="center"/>
    </xf>
    <xf applyAlignment="true" applyBorder="false" applyFill="true" applyFont="true" applyNumberFormat="false" applyProtection="false" borderId="10" fillId="3" fontId="2" numFmtId="0" xfId="0">
      <alignment horizontal="center" vertical="center"/>
    </xf>
    <xf applyAlignment="true" applyBorder="false" applyFill="true" applyFont="true" applyNumberFormat="false" applyProtection="false" borderId="11" fillId="4" fontId="2" numFmtId="0" xfId="0">
      <alignment horizontal="center" vertical="center"/>
    </xf>
    <xf applyAlignment="true" applyBorder="false" applyFill="true" applyFont="true" applyNumberFormat="false" applyProtection="false" borderId="12" fillId="5" fontId="2" numFmtId="0" xfId="0">
      <alignment horizontal="center" vertical="center"/>
    </xf>
    <xf applyAlignment="true" applyBorder="false" applyFill="false" applyFont="true" applyNumberFormat="false" applyProtection="false" borderId="13" fillId="0" fontId="2" numFmtId="0" xfId="0">
      <alignment horizontal="center" vertical="center"/>
    </xf>
    <xf applyAlignment="true" applyBorder="false" applyFill="true" applyFont="true" applyNumberFormat="false" applyProtection="false" borderId="14" fillId="6" fontId="2" numFmtId="0" xfId="0">
      <alignment horizontal="center" vertical="center"/>
    </xf>
    <xf applyAlignment="true" applyBorder="false" applyFill="true" applyFont="true" applyNumberFormat="false" applyProtection="false" borderId="15" fillId="7" fontId="2" numFmtId="0" xfId="0">
      <alignment horizontal="center" vertical="center"/>
    </xf>
    <xf applyAlignment="true" applyBorder="false" applyFill="false" applyFont="true" applyNumberFormat="false" applyProtection="false" borderId="16" fillId="0" fontId="4" numFmtId="0" xfId="0">
      <alignment horizontal="center" vertical="center"/>
    </xf>
    <xf applyAlignment="true" applyBorder="false" applyFill="true" applyFont="true" applyNumberFormat="false" applyProtection="false" borderId="17" fillId="8" fontId="4" numFmtId="0" xfId="0">
      <alignment horizontal="center" vertical="center"/>
    </xf>
    <xf applyAlignment="true" applyBorder="false" applyFill="false" applyFont="true" applyNumberFormat="false" applyProtection="false" borderId="18" fillId="0" fontId="4" numFmtId="0" xfId="0">
      <alignment horizontal="center" vertical="center"/>
    </xf>
    <xf applyAlignment="true" applyBorder="false" applyFill="true" applyFont="true" applyNumberFormat="false" applyProtection="false" borderId="19" fillId="9" fontId="4" numFmtId="0" xfId="0">
      <alignment vertical="center"/>
    </xf>
    <xf applyAlignment="true" applyBorder="false" applyFill="false" applyFont="true" applyNumberFormat="false" applyProtection="false" borderId="20" fillId="0" fontId="4" numFmtId="0" xfId="0">
      <alignment horizontal="center" vertical="center"/>
    </xf>
    <xf applyAlignment="true" applyBorder="false" applyFill="false" applyFont="true" applyNumberFormat="false" applyProtection="false" borderId="21" fillId="0" fontId="4" numFmtId="0" xfId="0">
      <alignment horizontal="center" vertical="center"/>
    </xf>
    <xf applyAlignment="true" applyBorder="false" applyFill="false" applyFont="true" applyNumberFormat="false" applyProtection="false" borderId="22" fillId="0" fontId="3" numFmtId="0" xfId="0">
      <alignment horizontal="center" vertical="center"/>
    </xf>
    <xf applyAlignment="true" applyBorder="false" applyFill="true" applyFont="true" applyNumberFormat="false" applyProtection="false" borderId="23" fillId="10" fontId="4" numFmtId="0" xfId="0">
      <alignment horizontal="center" vertical="center"/>
    </xf>
    <xf applyAlignment="true" applyBorder="false" applyFill="false" applyFont="true" applyNumberFormat="false" applyProtection="false" borderId="24" fillId="0" fontId="2" numFmtId="0" xfId="0">
      <alignment vertical="center"/>
    </xf>
    <xf applyAlignment="true" applyBorder="false" applyFill="false" applyFont="true" applyNumberFormat="false" applyProtection="false" borderId="25" fillId="0" fontId="1" numFmtId="0" xfId="0">
      <alignment vertical="center"/>
    </xf>
    <xf applyAlignment="true" applyBorder="false" applyFill="false" applyFont="true" applyNumberFormat="false" applyProtection="false" borderId="26" fillId="0" fontId="2" numFmtId="0" xfId="0">
      <alignment vertical="center"/>
    </xf>
    <xf applyAlignment="true" applyBorder="false" applyFill="false" applyFont="true" applyNumberFormat="false" applyProtection="false" borderId="27" fillId="0" fontId="2" numFmtId="0" xfId="0">
      <alignment horizontal="center" vertical="center"/>
    </xf>
    <xf applyAlignment="true" applyBorder="false" applyFill="false" applyFont="true" applyNumberFormat="false" applyProtection="false" borderId="28" fillId="0" fontId="1" numFmtId="0" xfId="0">
      <alignment horizontal="center" vertical="center"/>
    </xf>
    <xf applyAlignment="true" applyBorder="false" applyFill="false" applyFont="true" applyNumberFormat="false" applyProtection="false" borderId="29" fillId="0" fontId="2" numFmtId="0" xfId="0">
      <alignment horizontal="center" vertical="center"/>
    </xf>
    <xf applyAlignment="true" applyBorder="false" applyFill="false" applyFont="true" applyNumberFormat="false" applyProtection="false" borderId="30" fillId="0" fontId="5" numFmtId="0" xfId="0">
      <alignment vertical="center"/>
    </xf>
    <xf applyAlignment="true" applyBorder="false" applyFill="true" applyFont="true" applyNumberFormat="false" applyProtection="false" borderId="31" fillId="11" fontId="4" numFmtId="0" xfId="0">
      <alignment horizontal="center" vertical="center"/>
    </xf>
    <xf applyAlignment="true" applyBorder="false" applyFill="true" applyFont="true" applyNumberFormat="false" applyProtection="false" borderId="32" fillId="12" fontId="4" numFmtId="0" xfId="0">
      <alignment horizontal="center" vertical="center"/>
    </xf>
    <xf applyAlignment="true" applyBorder="false" applyFill="false" applyFont="true" applyNumberFormat="false" applyProtection="false" borderId="33" fillId="0" fontId="2" numFmtId="0" xfId="0">
      <alignment vertical="center"/>
    </xf>
    <xf applyAlignment="true" applyBorder="false" applyFill="false" applyFont="true" applyNumberFormat="false" applyProtection="false" borderId="34" fillId="0" fontId="6" numFmtId="0" xfId="0">
      <alignment vertical="center"/>
    </xf>
    <xf applyAlignment="true" applyBorder="false" applyFill="true" applyFont="true" applyNumberFormat="false" applyProtection="false" borderId="35" fillId="13" fontId="2" numFmtId="0" xfId="0">
      <alignment vertical="center"/>
    </xf>
    <xf applyAlignment="true" applyBorder="false" applyFill="true" applyFont="true" applyNumberFormat="false" applyProtection="false" borderId="36" fillId="14" fontId="1" numFmtId="0" xfId="0">
      <alignment vertical="center"/>
    </xf>
    <xf applyAlignment="true" applyBorder="false" applyFill="true" applyFont="true" applyNumberFormat="false" applyProtection="false" borderId="37" fillId="15" fontId="2" numFmtId="0" xfId="0">
      <alignment vertical="center"/>
    </xf>
    <xf applyAlignment="true" applyBorder="false" applyFill="false" applyFont="true" applyNumberFormat="false" applyProtection="false" borderId="38" fillId="0" fontId="4" numFmtId="0" xfId="0">
      <alignment horizontal="center" vertical="center"/>
    </xf>
    <xf applyAlignment="true" applyBorder="false" applyFill="false" applyFont="true" applyNumberFormat="false" applyProtection="false" borderId="39" fillId="0" fontId="3" numFmtId="0" xfId="0">
      <alignment horizontal="center" vertical="center"/>
    </xf>
    <xf applyAlignment="true" applyBorder="false" applyFill="false" applyFont="true" applyNumberFormat="false" applyProtection="false" borderId="40" fillId="0" fontId="4" numFmtId="0" xfId="0">
      <alignment horizontal="center" vertical="center"/>
    </xf>
    <xf applyAlignment="true" applyBorder="false" applyFill="false" applyFont="true" applyNumberFormat="false" applyProtection="false" borderId="41" fillId="0" fontId="4" numFmtId="0" xfId="0">
      <alignment horizontal="center" vertical="center"/>
    </xf>
    <xf applyAlignment="true" applyBorder="false" applyFill="false" applyFont="true" applyNumberFormat="false" applyProtection="false" borderId="42" fillId="0" fontId="7" numFmtId="0" xfId="0">
      <alignment horizontal="center" vertical="center"/>
    </xf>
    <xf applyAlignment="true" applyBorder="false" applyFill="true" applyFont="true" applyNumberFormat="false" applyProtection="false" borderId="43" fillId="16" fontId="3" numFmtId="0" xfId="0">
      <alignment horizontal="center" vertical="center"/>
    </xf>
    <xf applyAlignment="true" applyBorder="false" applyFill="true" applyFont="true" applyNumberFormat="false" applyProtection="false" borderId="44" fillId="17" fontId="3" numFmtId="0" xfId="0">
      <alignment horizontal="center" vertical="center"/>
    </xf>
    <xf applyAlignment="true" applyBorder="false" applyFill="true" applyFont="true" applyNumberFormat="false" applyProtection="false" borderId="45" fillId="18" fontId="3" numFmtId="0" xfId="0">
      <alignment horizontal="center" vertical="center"/>
    </xf>
    <xf applyAlignment="true" applyBorder="false" applyFill="false" applyFont="true" applyNumberFormat="false" applyProtection="false" borderId="46" fillId="0" fontId="4" numFmtId="0" xfId="0">
      <alignment horizontal="center" vertical="center"/>
    </xf>
    <xf applyAlignment="true" applyBorder="false" applyFill="false" applyFont="true" applyNumberFormat="false" applyProtection="false" borderId="47" fillId="0" fontId="4" numFmtId="0" xfId="0">
      <alignment horizontal="center" vertical="center"/>
    </xf>
    <xf applyAlignment="true" applyBorder="false" applyFill="false" applyFont="true" applyNumberFormat="false" applyProtection="false" borderId="48" fillId="0" fontId="4" numFmtId="0" xfId="0">
      <alignment horizontal="center" vertical="center"/>
    </xf>
    <xf applyAlignment="true" applyBorder="false" applyFill="false" applyFont="true" applyNumberFormat="false" applyProtection="false" borderId="49" fillId="0" fontId="4" numFmtId="0" xfId="0">
      <alignment horizontal="right" vertical="center"/>
    </xf>
    <xf applyAlignment="true" applyBorder="false" applyFill="true" applyFont="true" applyNumberFormat="false" applyProtection="false" borderId="50" fillId="19" fontId="3" numFmtId="0" xfId="0">
      <alignment horizontal="center" vertical="center"/>
    </xf>
    <xf applyAlignment="true" applyBorder="false" applyFill="true" applyFont="true" applyNumberFormat="false" applyProtection="false" borderId="51" fillId="20" fontId="3" numFmtId="0" xfId="0">
      <alignment horizontal="center" vertical="center"/>
    </xf>
    <xf applyAlignment="true" applyBorder="false" applyFill="true" applyFont="true" applyNumberFormat="false" applyProtection="false" borderId="52" fillId="21" fontId="3" numFmtId="0" xfId="0">
      <alignment horizontal="center" vertical="center"/>
    </xf>
    <xf applyAlignment="true" applyBorder="false" applyFill="false" applyFont="true" applyNumberFormat="false" applyProtection="false" borderId="53" fillId="0" fontId="8" numFmtId="0" xfId="0">
      <alignment horizontal="center" vertical="center"/>
    </xf>
    <xf applyAlignment="true" applyBorder="false" applyFill="false" applyFont="true" applyNumberFormat="false" applyProtection="false" borderId="54" fillId="0" fontId="4" numFmtId="0" xfId="0">
      <alignment horizontal="center" vertical="center"/>
    </xf>
    <xf applyAlignment="true" applyBorder="false" applyFill="false" applyFont="true" applyNumberFormat="false" applyProtection="false" borderId="55" fillId="0" fontId="8" numFmtId="0" xfId="0">
      <alignment horizontal="center" vertical="center"/>
    </xf>
    <xf applyAlignment="true" applyBorder="false" applyFill="false" applyFont="true" applyNumberFormat="false" applyProtection="false" borderId="56" fillId="0" fontId="4" numFmtId="0" xfId="0">
      <alignment horizontal="center" vertical="center"/>
    </xf>
    <xf applyAlignment="true" applyBorder="false" applyFill="false" applyFont="true" applyNumberFormat="false" applyProtection="false" borderId="57" fillId="0" fontId="8" numFmtId="0" xfId="0">
      <alignment horizontal="center" vertical="center"/>
    </xf>
    <xf applyAlignment="true" applyBorder="false" applyFill="true" applyFont="true" applyNumberFormat="false" applyProtection="false" borderId="58" fillId="22" fontId="3" numFmtId="0" xfId="0">
      <alignment horizontal="center" vertical="center"/>
    </xf>
    <xf applyAlignment="true" applyBorder="false" applyFill="true" applyFont="true" applyNumberFormat="false" applyProtection="false" borderId="59" fillId="23" fontId="3" numFmtId="0" xfId="0">
      <alignment horizontal="center" vertical="center"/>
    </xf>
    <xf applyAlignment="true" applyBorder="false" applyFill="true" applyFont="true" applyNumberFormat="false" applyProtection="false" borderId="60" fillId="24" fontId="3" numFmtId="0" xfId="0">
      <alignment horizontal="center" vertical="center"/>
    </xf>
    <xf applyAlignment="true" applyBorder="false" applyFill="false" applyFont="true" applyNumberFormat="false" applyProtection="false" borderId="61" fillId="0" fontId="4" numFmtId="0" xfId="0">
      <alignment horizontal="center" vertical="center"/>
    </xf>
    <xf applyAlignment="true" applyBorder="false" applyFill="false" applyFont="true" applyNumberFormat="false" applyProtection="false" borderId="62" fillId="0" fontId="4" numFmtId="0" xfId="0">
      <alignment horizontal="center" vertical="center"/>
    </xf>
    <xf applyAlignment="true" applyBorder="false" applyFill="false" applyFont="true" applyNumberFormat="false" applyProtection="false" borderId="63" fillId="0" fontId="4" numFmtId="0" xfId="0">
      <alignment horizontal="center" vertical="center"/>
    </xf>
    <xf applyAlignment="true" applyBorder="false" applyFill="false" applyFont="true" applyNumberFormat="false" applyProtection="false" borderId="64" fillId="0" fontId="9" numFmtId="0" xfId="0">
      <alignment horizontal="center" vertical="bottom"/>
    </xf>
    <xf applyAlignment="true" applyBorder="false" applyFill="false" applyFont="true" applyNumberFormat="false" applyProtection="false" borderId="65" fillId="0" fontId="4" numFmtId="0" xfId="0">
      <alignment horizontal="center" vertical="center"/>
    </xf>
    <xf applyAlignment="true" applyBorder="false" applyFill="false" applyFont="true" applyNumberFormat="true" applyProtection="false" borderId="66" fillId="0" fontId="1" numFmtId="164" xfId="0">
      <alignment vertical="center"/>
    </xf>
    <xf applyAlignment="true" applyBorder="false" applyFill="false" applyFont="true" applyNumberFormat="false" applyProtection="false" borderId="67" fillId="0" fontId="2" numFmtId="0" xfId="0">
      <alignment vertical="center"/>
    </xf>
    <xf applyAlignment="true" applyBorder="false" applyFill="true" applyFont="true" applyNumberFormat="false" applyProtection="false" borderId="68" fillId="25" fontId="4" numFmtId="0" xfId="0">
      <alignment horizontal="center" vertical="center"/>
    </xf>
    <xf applyAlignment="true" applyBorder="false" applyFill="true" applyFont="true" applyNumberFormat="false" applyProtection="false" borderId="69" fillId="26" fontId="4" numFmtId="0" xfId="0">
      <alignment horizontal="center" vertical="center"/>
    </xf>
    <xf applyAlignment="true" applyBorder="false" applyFill="true" applyFont="true" applyNumberFormat="false" applyProtection="false" borderId="70" fillId="27" fontId="4" numFmtId="0" xfId="0">
      <alignment horizontal="center" vertical="center"/>
    </xf>
    <xf applyAlignment="true" applyBorder="false" applyFill="true" applyFont="true" applyNumberFormat="false" applyProtection="false" borderId="71" fillId="28" fontId="1" numFmtId="0" xfId="0">
      <alignment vertical="center"/>
    </xf>
    <xf applyAlignment="true" applyBorder="false" applyFill="true" applyFont="true" applyNumberFormat="false" applyProtection="false" borderId="72" fillId="29" fontId="3" numFmtId="0" xfId="0">
      <alignment vertical="center"/>
    </xf>
    <xf applyAlignment="true" applyBorder="false" applyFill="true" applyFont="true" applyNumberFormat="false" applyProtection="false" borderId="73" fillId="30" fontId="3" numFmtId="0" xfId="0">
      <alignment vertical="center"/>
    </xf>
    <xf applyAlignment="true" applyBorder="false" applyFill="false" applyFont="true" applyNumberFormat="false" applyProtection="false" borderId="74" fillId="0" fontId="3" numFmtId="0" xfId="0">
      <alignment horizontal="center" vertical="center"/>
    </xf>
    <xf applyAlignment="true" applyBorder="false" applyFill="true" applyFont="true" applyNumberFormat="false" applyProtection="false" borderId="75" fillId="31" fontId="2" numFmtId="0" xfId="0">
      <alignment vertical="center"/>
    </xf>
    <xf applyAlignment="true" applyBorder="false" applyFill="true" applyFont="true" applyNumberFormat="false" applyProtection="false" borderId="76" fillId="32" fontId="2" numFmtId="0" xfId="0">
      <alignment horizontal="center" vertical="center"/>
    </xf>
    <xf applyAlignment="true" applyBorder="false" applyFill="false" applyFont="true" applyNumberFormat="false" applyProtection="false" borderId="77" fillId="0" fontId="3" numFmtId="0" xfId="0">
      <alignment horizontal="center" vertical="center"/>
    </xf>
    <xf applyAlignment="true" applyBorder="false" applyFill="false" applyFont="true" applyNumberFormat="false" applyProtection="false" borderId="78" fillId="0" fontId="3" numFmtId="0" xfId="0">
      <alignment horizontal="center" vertical="center"/>
    </xf>
    <xf applyAlignment="true" applyBorder="false" applyFill="true" applyFont="true" applyNumberFormat="false" applyProtection="false" borderId="79" fillId="33" fontId="4" numFmtId="0" xfId="0">
      <alignment horizontal="center" vertical="center"/>
    </xf>
    <xf applyAlignment="true" applyBorder="false" applyFill="true" applyFont="true" applyNumberFormat="false" applyProtection="false" borderId="80" fillId="34" fontId="4" numFmtId="0" xfId="0">
      <alignment horizontal="center" vertical="center"/>
    </xf>
    <xf applyAlignment="true" applyBorder="false" applyFill="false" applyFont="true" applyNumberFormat="false" applyProtection="false" borderId="81" fillId="0" fontId="4" numFmtId="0" xfId="0">
      <alignment horizontal="center" vertical="center"/>
    </xf>
    <xf applyAlignment="true" applyBorder="false" applyFill="false" applyFont="true" applyNumberFormat="false" applyProtection="false" borderId="82" fillId="0" fontId="4" numFmtId="0" xfId="0">
      <alignment horizontal="center" vertical="center"/>
    </xf>
    <xf applyAlignment="true" applyBorder="false" applyFill="false" applyFont="true" applyNumberFormat="false" applyProtection="false" borderId="83" fillId="0" fontId="4" numFmtId="0" xfId="0">
      <alignment vertical="center"/>
    </xf>
    <xf applyAlignment="true" applyBorder="false" applyFill="false" applyFont="true" applyNumberFormat="false" applyProtection="false" borderId="84" fillId="0" fontId="4" numFmtId="0" xfId="0">
      <alignment horizontal="center" vertical="center"/>
    </xf>
    <xf applyAlignment="true" applyBorder="false" applyFill="true" applyFont="true" applyNumberFormat="false" applyProtection="false" borderId="85" fillId="35" fontId="4" numFmtId="0" xfId="0">
      <alignment vertical="center"/>
    </xf>
    <xf applyAlignment="true" applyBorder="false" applyFill="true" applyFont="true" applyNumberFormat="false" applyProtection="false" borderId="86" fillId="36" fontId="2" numFmtId="0" xfId="0">
      <alignment vertical="center"/>
    </xf>
    <xf applyAlignment="true" applyBorder="false" applyFill="true" applyFont="true" applyNumberFormat="false" applyProtection="false" borderId="87" fillId="37" fontId="1" numFmtId="0" xfId="0">
      <alignment horizontal="center" vertical="center"/>
    </xf>
    <xf applyAlignment="true" applyBorder="false" applyFill="true" applyFont="true" applyNumberFormat="false" applyProtection="false" borderId="88" fillId="38" fontId="4" numFmtId="0" xfId="0">
      <alignment horizontal="center" vertical="center"/>
    </xf>
    <xf applyAlignment="true" applyBorder="false" applyFill="true" applyFont="true" applyNumberFormat="false" applyProtection="false" borderId="89" fillId="39" fontId="3" numFmtId="0" xfId="0">
      <alignment vertical="center"/>
    </xf>
    <xf applyAlignment="true" applyBorder="false" applyFill="true" applyFont="true" applyNumberFormat="false" applyProtection="false" borderId="90" fillId="40" fontId="1" numFmtId="0" xfId="0">
      <alignment vertical="center"/>
    </xf>
    <xf applyAlignment="true" applyBorder="false" applyFill="true" applyFont="true" applyNumberFormat="false" applyProtection="false" borderId="91" fillId="41" fontId="1" numFmtId="0" xfId="0">
      <alignment vertical="center"/>
    </xf>
    <xf applyAlignment="true" applyBorder="false" applyFill="false" applyFont="true" applyNumberFormat="true" applyProtection="false" borderId="92" fillId="0" fontId="4" numFmtId="165" xfId="0">
      <alignment horizontal="left" vertical="center"/>
    </xf>
    <xf applyAlignment="true" applyBorder="false" applyFill="false" applyFont="true" applyNumberFormat="false" applyProtection="false" borderId="93" fillId="0" fontId="3" numFmtId="0" xfId="0">
      <alignment horizontal="center" vertical="center"/>
    </xf>
    <xf applyAlignment="true" applyBorder="false" applyFill="false" applyFont="true" applyNumberFormat="true" applyProtection="false" borderId="94" fillId="0" fontId="4" numFmtId="166" xfId="0">
      <alignment vertical="center"/>
    </xf>
    <xf applyAlignment="true" applyBorder="false" applyFill="true" applyFont="true" applyNumberFormat="false" applyProtection="false" borderId="95" fillId="42" fontId="2" numFmtId="0" xfId="0">
      <alignment horizontal="center" vertical="center"/>
    </xf>
    <xf applyAlignment="true" applyBorder="false" applyFill="false" applyFont="true" applyNumberFormat="true" applyProtection="false" borderId="96" fillId="0" fontId="2" numFmtId="167" xfId="0">
      <alignment vertical="center"/>
    </xf>
    <xf applyAlignment="true" applyBorder="false" applyFill="false" applyFont="true" applyNumberFormat="false" applyProtection="false" borderId="97" fillId="0" fontId="3" numFmtId="0" xfId="0">
      <alignment horizontal="left" vertical="center"/>
    </xf>
    <xf applyAlignment="true" applyBorder="false" applyFill="false" applyFont="true" applyNumberFormat="false" applyProtection="false" borderId="98" fillId="0" fontId="3" numFmtId="0" xfId="0">
      <alignment horizontal="center" vertical="center"/>
    </xf>
    <xf applyAlignment="true" applyBorder="false" applyFill="true" applyFont="true" applyNumberFormat="false" applyProtection="false" borderId="99" fillId="43" fontId="2" numFmtId="0" xfId="0">
      <alignment vertical="center"/>
    </xf>
    <xf applyAlignment="true" applyBorder="false" applyFill="true" applyFont="true" applyNumberFormat="false" applyProtection="false" borderId="100" fillId="44" fontId="3" numFmtId="0" xfId="0">
      <alignment horizontal="center" vertical="center"/>
    </xf>
    <xf applyAlignment="true" applyBorder="false" applyFill="false" applyFont="true" applyNumberFormat="false" applyProtection="false" borderId="101" fillId="0" fontId="1" numFmtId="0" xfId="0">
      <alignment horizontal="center" vertical="center"/>
    </xf>
    <xf applyAlignment="true" applyBorder="false" applyFill="false" applyFont="true" applyNumberFormat="false" applyProtection="false" borderId="102" fillId="0" fontId="8" numFmtId="0" xfId="0">
      <alignment horizontal="center" vertical="center"/>
    </xf>
    <xf applyAlignment="true" applyBorder="false" applyFill="false" applyFont="true" applyNumberFormat="false" applyProtection="false" borderId="103" fillId="0" fontId="8" numFmtId="0" xfId="0">
      <alignment horizontal="center" vertical="center"/>
    </xf>
    <xf applyAlignment="true" applyBorder="false" applyFill="false" applyFont="true" applyNumberFormat="false" applyProtection="false" borderId="104" fillId="0" fontId="8" numFmtId="0" xfId="0">
      <alignment horizontal="center" vertical="center"/>
    </xf>
    <xf applyAlignment="true" applyBorder="false" applyFill="true" applyFont="true" applyNumberFormat="false" applyProtection="false" borderId="105" fillId="45" fontId="3" numFmtId="0" xfId="0">
      <alignment horizontal="center" vertical="center"/>
    </xf>
    <xf applyAlignment="false" applyBorder="false" applyFill="true" applyFont="false" applyNumberFormat="false" applyProtection="false" borderId="106" fillId="46" fontId="0" numFmtId="0" xfId="0">
      <alignment/>
    </xf>
    <xf applyAlignment="false" applyBorder="false" applyFill="true" applyFont="false" applyNumberFormat="false" applyProtection="false" borderId="107" fillId="47" fontId="0" numFmtId="0" xfId="0">
      <alignment/>
    </xf>
    <xf applyAlignment="false" applyBorder="false" applyFill="true" applyFont="false" applyNumberFormat="false" applyProtection="false" borderId="108" fillId="48" fontId="0" numFmtId="0" xfId="0">
      <alignment/>
    </xf>
    <xf applyAlignment="true" applyBorder="false" applyFill="false" applyFont="true" applyNumberFormat="true" applyProtection="false" borderId="109" fillId="0" fontId="1" numFmtId="168" xfId="0">
      <alignment vertical="bottom"/>
    </xf>
    <xf applyAlignment="true" applyBorder="false" applyFill="false" applyFont="true" applyNumberFormat="true" applyProtection="false" borderId="110" fillId="0" fontId="3" numFmtId="169" xfId="0">
      <alignment vertical="bottom"/>
    </xf>
    <xf applyAlignment="true" applyBorder="false" applyFill="false" applyFont="true" applyNumberFormat="false" applyProtection="false" borderId="111" fillId="0" fontId="1" numFmtId="0" xfId="0">
      <alignment vertical="bottom"/>
    </xf>
    <xf applyAlignment="true" applyBorder="false" applyFill="false" applyFont="true" applyNumberFormat="true" applyProtection="false" borderId="112" fillId="0" fontId="5" numFmtId="170" xfId="0">
      <alignment vertical="bottom"/>
    </xf>
    <xf applyAlignment="true" applyBorder="false" applyFill="false" applyFont="true" applyNumberFormat="false" applyProtection="false" borderId="113" fillId="0" fontId="3" numFmtId="0" xfId="0">
      <alignment horizontal="left" vertical="bottom"/>
    </xf>
    <xf applyAlignment="true" applyBorder="false" applyFill="false" applyFont="true" applyNumberFormat="false" applyProtection="false" borderId="114" fillId="0" fontId="3" numFmtId="0" xfId="0">
      <alignment vertical="bottom"/>
    </xf>
    <xf applyAlignment="true" applyBorder="false" applyFill="true" applyFont="true" applyNumberFormat="false" applyProtection="false" borderId="115" fillId="49" fontId="4" numFmtId="0" xfId="0">
      <alignment vertical="center"/>
    </xf>
    <xf applyAlignment="true" applyBorder="false" applyFill="false" applyFont="true" applyNumberFormat="false" applyProtection="false" borderId="116" fillId="0" fontId="1" numFmtId="0" xfId="0">
      <alignment horizontal="left" vertical="bottom"/>
    </xf>
    <xf applyAlignment="true" applyBorder="false" applyFill="false" applyFont="true" applyNumberFormat="false" applyProtection="false" borderId="117" fillId="0" fontId="1" numFmtId="0" xfId="0">
      <alignment horizontal="left" vertical="center"/>
    </xf>
    <xf applyAlignment="true" applyBorder="false" applyFill="false" applyFont="true" applyNumberFormat="false" applyProtection="false" borderId="118" fillId="0" fontId="2" numFmtId="0" xfId="0">
      <alignment vertical="bottom"/>
    </xf>
    <xf applyAlignment="true" applyBorder="false" applyFill="true" applyFont="true" applyNumberFormat="false" applyProtection="false" borderId="119" fillId="50" fontId="4" numFmtId="0" xfId="0">
      <alignment vertical="center"/>
    </xf>
    <xf applyAlignment="true" applyBorder="false" applyFill="false" applyFont="true" applyNumberFormat="true" applyProtection="false" borderId="120" fillId="0" fontId="1" numFmtId="171" xfId="0">
      <alignment horizontal="left" vertical="bottom"/>
    </xf>
    <xf applyAlignment="true" applyBorder="false" applyFill="false" applyFont="true" applyNumberFormat="false" applyProtection="false" borderId="121" fillId="0" fontId="2" numFmtId="0" xfId="0">
      <alignment horizontal="left" vertical="center"/>
    </xf>
    <xf applyAlignment="false" applyBorder="false" applyFill="false" applyFont="false" applyNumberFormat="false" applyProtection="false" borderId="122" fillId="0" fontId="0" numFmtId="0" xfId="0">
      <alignment/>
    </xf>
    <xf applyAlignment="true" applyBorder="false" applyFill="false" applyFont="true" applyNumberFormat="false" applyProtection="false" borderId="123" fillId="0" fontId="2" numFmtId="0" xfId="0">
      <alignment horizontal="left" vertical="bottom"/>
    </xf>
    <xf applyAlignment="true" applyBorder="false" applyFill="false" applyFont="true" applyNumberFormat="false" applyProtection="false" borderId="124" fillId="0" fontId="4" numFmtId="0" xfId="0">
      <alignment vertical="bottom"/>
    </xf>
    <xf applyAlignment="true" applyBorder="false" applyFill="false" applyFont="true" applyNumberFormat="true" applyProtection="false" borderId="125" fillId="0" fontId="4" numFmtId="172" xfId="0">
      <alignment horizontal="left" vertical="bottom"/>
    </xf>
  </cellXfs>
  <cellStyles count="1">
    <cellStyle builtinId="0" name="Normal" xfId="0"/>
  </cellStyles>
  <dxfs count="36">
    <dxf>
      <fill>
        <patternFill patternType="solid">
          <fgColor/>
          <bgColor rgb="FFFFE270"/>
        </patternFill>
      </fill>
    </dxf>
    <dxf>
      <fill>
        <patternFill patternType="solid">
          <fgColor/>
          <bgColor rgb="FFFF9C99"/>
        </patternFill>
      </fill>
    </dxf>
    <dxf>
      <fill>
        <patternFill patternType="solid">
          <fgColor/>
          <bgColor rgb="FF99BEFF"/>
        </patternFill>
      </fill>
    </dxf>
    <dxf>
      <fill>
        <patternFill patternType="solid">
          <fgColor/>
          <bgColor rgb="FFFFE270"/>
        </patternFill>
      </fill>
    </dxf>
    <dxf>
      <fill>
        <patternFill patternType="solid">
          <fgColor/>
          <bgColor rgb="FFFF9C99"/>
        </patternFill>
      </fill>
    </dxf>
    <dxf>
      <fill>
        <patternFill patternType="solid">
          <fgColor/>
          <bgColor rgb="FF99BEFF"/>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
      <fill>
        <patternFill patternType="solid">
          <fgColor/>
          <bgColor rgb="FFFFE270"/>
        </patternFill>
      </fill>
    </dxf>
    <dxf>
      <fill>
        <patternFill patternType="solid">
          <fgColor/>
          <bgColor rgb="FFFF9C99"/>
        </patternFill>
      </fill>
    </dxf>
    <dxf>
      <fill>
        <patternFill patternType="solid">
          <fgColor/>
          <bgColor rgb="FF99BEFF"/>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
      <fill>
        <patternFill patternType="solid">
          <fgColor/>
          <bgColor rgb="FF99BEFF"/>
        </patternFill>
      </fill>
    </dxf>
    <dxf>
      <fill>
        <patternFill patternType="solid">
          <fgColor/>
          <bgColor rgb="FFFF9C99"/>
        </patternFill>
      </fill>
    </dxf>
    <dxf>
      <fill>
        <patternFill patternType="solid">
          <fgColor/>
          <bgColor rgb="FFFFE270"/>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drawings/_rels/drawing1.xml.rels><?xml version="1.0" encoding="UTF-8" standalone="yes"?>
<Relationships xmlns="http://schemas.openxmlformats.org/package/2006/relationships"><Relationship Id="rId1" Target="../media/image1.jpeg" Type="http://schemas.openxmlformats.org/officeDocument/2006/relationships/image"></Relationship><Relationship Id="rId2" Target="../media/image2.jpeg" Type="http://schemas.openxmlformats.org/officeDocument/2006/relationships/image"></Relationship><Relationship Id="rId3" Target="../media/image3.jpeg" Type="http://schemas.openxmlformats.org/officeDocument/2006/relationships/image"></Relationship><Relationship Id="rId4" Target="../media/image4.jpeg" Type="http://schemas.openxmlformats.org/officeDocument/2006/relationships/image"></Relationship><Relationship Id="rId5" Target="../media/image5.jpeg" Type="http://schemas.openxmlformats.org/officeDocument/2006/relationships/image"></Relationship><Relationship Id="rId6" Target="../media/image6.jpeg" Type="http://schemas.openxmlformats.org/officeDocument/2006/relationships/image"></Relationship><Relationship Id="rId7" Target="../media/image7.jpeg" Type="http://schemas.openxmlformats.org/officeDocument/2006/relationships/image"></Relationship><Relationship Id="rId8" Target="../media/image8.jpeg" Type="http://schemas.openxmlformats.org/officeDocument/2006/relationships/image"></Relationship><Relationship Id="rId9" Target="../media/image9.jpeg" Type="http://schemas.openxmlformats.org/officeDocument/2006/relationships/image"></Relationship><Relationship Id="rId10" Target="../media/image10.jpeg" Type="http://schemas.openxmlformats.org/officeDocument/2006/relationships/image"></Relationship><Relationship Id="rId11" Target="../media/image11.jpeg" Type="http://schemas.openxmlformats.org/officeDocument/2006/relationships/image"></Relationship><Relationship Id="rId12" Target="../media/image12.jpeg" Type="http://schemas.openxmlformats.org/officeDocument/2006/relationships/image"></Relationship><Relationship Id="rId13" Target="../media/image13.jpeg" Type="http://schemas.openxmlformats.org/officeDocument/2006/relationships/image"></Relationship><Relationship Id="rId14" Target="../media/image14.jpeg" Type="http://schemas.openxmlformats.org/officeDocument/2006/relationships/image"></Relationship><Relationship Id="rId15" Target="../media/image15.jpeg" Type="http://schemas.openxmlformats.org/officeDocument/2006/relationships/image"></Relationship><Relationship Id="rId16" Target="../media/image16.jpeg" Type="http://schemas.openxmlformats.org/officeDocument/2006/relationships/image"></Relationship><Relationship Id="rId17" Target="../media/image17.jpeg" Type="http://schemas.openxmlformats.org/officeDocument/2006/relationships/image"></Relationship><Relationship Id="rId18" Target="../media/image18.jpeg" Type="http://schemas.openxmlformats.org/officeDocument/2006/relationships/image"></Relationship><Relationship Id="rId19" Target="../media/image19.jpeg" Type="http://schemas.openxmlformats.org/officeDocument/2006/relationships/image"></Relationship><Relationship Id="rId20" Target="../media/image20.jpeg" Type="http://schemas.openxmlformats.org/officeDocument/2006/relationships/image"></Relationship><Relationship Id="rId21" Target="../media/image21.jpeg" Type="http://schemas.openxmlformats.org/officeDocument/2006/relationships/image"></Relationship><Relationship Id="rId22" Target="../media/image22.jpeg" Type="http://schemas.openxmlformats.org/officeDocument/2006/relationships/image"></Relationship><Relationship Id="rId23" Target="../media/image23.jpeg" Type="http://schemas.openxmlformats.org/officeDocument/2006/relationships/image"></Relationship><Relationship Id="rId24" Target="../media/image24.jpeg" Type="http://schemas.openxmlformats.org/officeDocument/2006/relationships/image"></Relationship><Relationship Id="rId25" Target="../media/image25.jpeg" Type="http://schemas.openxmlformats.org/officeDocument/2006/relationships/image"></Relationship><Relationship Id="rId26" Target="../media/image26.jpeg" Type="http://schemas.openxmlformats.org/officeDocument/2006/relationships/image"></Relationship><Relationship Id="rId27" Target="../media/image27.jpeg" Type="http://schemas.openxmlformats.org/officeDocument/2006/relationships/image"></Relationship><Relationship Id="rId28" Target="../media/image28.jpeg" Type="http://schemas.openxmlformats.org/officeDocument/2006/relationships/image"></Relationship><Relationship Id="rId29" Target="../media/image29.jpeg" Type="http://schemas.openxmlformats.org/officeDocument/2006/relationships/image"></Relationship><Relationship Id="rId30" Target="../media/image30.jpeg" Type="http://schemas.openxmlformats.org/officeDocument/2006/relationships/image"></Relationship><Relationship Id="rId31" Target="../media/image31.jpeg" Type="http://schemas.openxmlformats.org/officeDocument/2006/relationships/image"></Relationship><Relationship Id="rId32" Target="../media/image32.jpeg" Type="http://schemas.openxmlformats.org/officeDocument/2006/relationships/image"></Relationship><Relationship Id="rId33" Target="../media/image33.jpeg" Type="http://schemas.openxmlformats.org/officeDocument/2006/relationships/image"></Relationship><Relationship Id="rId34" Target="../media/image34.jpeg" Type="http://schemas.openxmlformats.org/officeDocument/2006/relationships/image"></Relationship><Relationship Id="rId35" Target="../media/image35.jpeg" Type="http://schemas.openxmlformats.org/officeDocument/2006/relationships/image"></Relationship><Relationship Id="rId36" Target="../media/image36.jpeg" Type="http://schemas.openxmlformats.org/officeDocument/2006/relationships/image"></Relationship><Relationship Id="rId37" Target="../media/image37.jpeg" Type="http://schemas.openxmlformats.org/officeDocument/2006/relationships/image"></Relationship><Relationship Id="rId38" Target="../media/image38.jpeg" Type="http://schemas.openxmlformats.org/officeDocument/2006/relationships/image"></Relationship><Relationship Id="rId39" Target="../media/image39.jpeg" Type="http://schemas.openxmlformats.org/officeDocument/2006/relationships/image"></Relationship><Relationship Id="rId40" Target="../media/image40.jpeg" Type="http://schemas.openxmlformats.org/officeDocument/2006/relationships/image"></Relationship><Relationship Id="rId41" Target="../media/image41.jpeg" Type="http://schemas.openxmlformats.org/officeDocument/2006/relationships/image"></Relationship><Relationship Id="rId42" Target="../media/image42.jpeg" Type="http://schemas.openxmlformats.org/officeDocument/2006/relationships/image"></Relationship><Relationship Id="rId43" Target="../media/image43.jpeg" Type="http://schemas.openxmlformats.org/officeDocument/2006/relationships/image"></Relationship><Relationship Id="rId44" Target="../media/image44.jpeg" Type="http://schemas.openxmlformats.org/officeDocument/2006/relationships/image"></Relationship><Relationship Id="rId45" Target="../media/image45.jpeg" Type="http://schemas.openxmlformats.org/officeDocument/2006/relationships/image"></Relationship><Relationship Id="rId46" Target="../media/image46.jpeg" Type="http://schemas.openxmlformats.org/officeDocument/2006/relationships/image"></Relationship><Relationship Id="rId47" Target="../media/image47.jpeg" Type="http://schemas.openxmlformats.org/officeDocument/2006/relationships/image"></Relationship><Relationship Id="rId48" Target="../media/image48.jpeg" Type="http://schemas.openxmlformats.org/officeDocument/2006/relationships/image"></Relationship><Relationship Id="rId49" Target="../media/image49.jpeg" Type="http://schemas.openxmlformats.org/officeDocument/2006/relationships/image"></Relationship><Relationship Id="rId50" Target="../media/image50.jpeg" Type="http://schemas.openxmlformats.org/officeDocument/2006/relationships/image"></Relationship><Relationship Id="rId51" Target="../media/image51.jpeg" Type="http://schemas.openxmlformats.org/officeDocument/2006/relationships/image"></Relationship><Relationship Id="rId52" Target="../media/image52.jpeg" Type="http://schemas.openxmlformats.org/officeDocument/2006/relationships/image"></Relationship><Relationship Id="rId53" Target="../media/image53.jpeg" Type="http://schemas.openxmlformats.org/officeDocument/2006/relationships/image"></Relationship><Relationship Id="rId54" Target="../media/image54.jpeg" Type="http://schemas.openxmlformats.org/officeDocument/2006/relationships/image"></Relationship><Relationship Id="rId55" Target="../media/image55.jpeg" Type="http://schemas.openxmlformats.org/officeDocument/2006/relationships/image"></Relationship><Relationship Id="rId56" Target="../media/image56.jpeg" Type="http://schemas.openxmlformats.org/officeDocument/2006/relationships/image"></Relationship><Relationship Id="rId57" Target="../media/image57.jpeg" Type="http://schemas.openxmlformats.org/officeDocument/2006/relationships/image"></Relationship><Relationship Id="rId58" Target="../media/image58.jpeg" Type="http://schemas.openxmlformats.org/officeDocument/2006/relationships/image"></Relationship><Relationship Id="rId59" Target="../media/image59.jpeg" Type="http://schemas.openxmlformats.org/officeDocument/2006/relationships/image"></Relationship><Relationship Id="rId60" Target="../media/image60.jpeg" Type="http://schemas.openxmlformats.org/officeDocument/2006/relationships/image"></Relationship><Relationship Id="rId61" Target="../media/image61.jpeg" Type="http://schemas.openxmlformats.org/officeDocument/2006/relationships/image"></Relationship><Relationship Id="rId62" Target="../media/image62.jpeg" Type="http://schemas.openxmlformats.org/officeDocument/2006/relationships/image"></Relationship><Relationship Id="rId63" Target="../media/image63.jpeg" Type="http://schemas.openxmlformats.org/officeDocument/2006/relationships/image"></Relationship><Relationship Id="rId64" Target="../media/image64.jpeg" Type="http://schemas.openxmlformats.org/officeDocument/2006/relationships/image"></Relationship><Relationship Id="rId65" Target="../media/image65.jpeg" Type="http://schemas.openxmlformats.org/officeDocument/2006/relationships/image"></Relationship><Relationship Id="rId66" Target="../media/image66.jpeg" Type="http://schemas.openxmlformats.org/officeDocument/2006/relationships/image"></Relationship><Relationship Id="rId67" Target="../media/image67.jpeg" Type="http://schemas.openxmlformats.org/officeDocument/2006/relationships/image"></Relationship><Relationship Id="rId68" Target="../media/image68.jpeg" Type="http://schemas.openxmlformats.org/officeDocument/2006/relationships/image"></Relationship><Relationship Id="rId69" Target="../media/image69.jpeg" Type="http://schemas.openxmlformats.org/officeDocument/2006/relationships/image"></Relationship><Relationship Id="rId70" Target="../media/image70.jpeg" Type="http://schemas.openxmlformats.org/officeDocument/2006/relationships/image"></Relationship><Relationship Id="rId71" Target="../media/image71.jpeg" Type="http://schemas.openxmlformats.org/officeDocument/2006/relationships/image"></Relationship><Relationship Id="rId72" Target="../media/image72.jpeg" Type="http://schemas.openxmlformats.org/officeDocument/2006/relationships/image"></Relationship><Relationship Id="rId73" Target="../media/image73.jpeg" Type="http://schemas.openxmlformats.org/officeDocument/2006/relationships/image"></Relationship><Relationship Id="rId74" Target="../media/image74.jpeg" Type="http://schemas.openxmlformats.org/officeDocument/2006/relationships/image"></Relationship><Relationship Id="rId75" Target="../media/image75.jpeg" Type="http://schemas.openxmlformats.org/officeDocument/2006/relationships/image"></Relationship><Relationship Id="rId76" Target="../media/image76.jpeg" Type="http://schemas.openxmlformats.org/officeDocument/2006/relationships/image"></Relationship><Relationship Id="rId77" Target="../media/image77.jpeg" Type="http://schemas.openxmlformats.org/officeDocument/2006/relationships/image"></Relationship><Relationship Id="rId78" Target="../media/image78.jpeg" Type="http://schemas.openxmlformats.org/officeDocument/2006/relationships/image"></Relationship><Relationship Id="rId79" Target="../media/image79.jpeg" Type="http://schemas.openxmlformats.org/officeDocument/2006/relationships/image"></Relationship><Relationship Id="rId80" Target="../media/image80.jpeg" Type="http://schemas.openxmlformats.org/officeDocument/2006/relationships/image"></Relationship><Relationship Id="rId81" Target="../media/image81.jpeg" Type="http://schemas.openxmlformats.org/officeDocument/2006/relationships/image"></Relationship><Relationship Id="rId82" Target="../media/image82.jpeg" Type="http://schemas.openxmlformats.org/officeDocument/2006/relationships/image"></Relationship><Relationship Id="rId83" Target="../media/image83.jpeg" Type="http://schemas.openxmlformats.org/officeDocument/2006/relationships/image"></Relationship><Relationship Id="rId84" Target="../media/image84.jpeg" Type="http://schemas.openxmlformats.org/officeDocument/2006/relationships/image"></Relationship><Relationship Id="rId85" Target="../media/image85.jpeg" Type="http://schemas.openxmlformats.org/officeDocument/2006/relationships/image"></Relationship><Relationship Id="rId86" Target="../media/image86.jpeg" Type="http://schemas.openxmlformats.org/officeDocument/2006/relationships/image"></Relationship><Relationship Id="rId87" Target="../media/image87.jpeg" Type="http://schemas.openxmlformats.org/officeDocument/2006/relationships/image"></Relationship><Relationship Id="rId88" Target="../media/image88.jpeg" Type="http://schemas.openxmlformats.org/officeDocument/2006/relationships/image"></Relationship><Relationship Id="rId89" Target="../media/image89.jpeg" Type="http://schemas.openxmlformats.org/officeDocument/2006/relationships/image"></Relationship><Relationship Id="rId90" Target="../media/image90.jpeg" Type="http://schemas.openxmlformats.org/officeDocument/2006/relationships/image"></Relationship><Relationship Id="rId91" Target="../media/image91.jpeg" Type="http://schemas.openxmlformats.org/officeDocument/2006/relationships/image"></Relationship><Relationship Id="rId92" Target="../media/image92.jpeg" Type="http://schemas.openxmlformats.org/officeDocument/2006/relationships/image"></Relationship><Relationship Id="rId93" Target="../media/image93.jpeg" Type="http://schemas.openxmlformats.org/officeDocument/2006/relationships/image"></Relationship><Relationship Id="rId94" Target="../media/image94.jpeg" Type="http://schemas.openxmlformats.org/officeDocument/2006/relationships/image"></Relationship><Relationship Id="rId95" Target="../media/image95.jpeg" Type="http://schemas.openxmlformats.org/officeDocument/2006/relationships/image"></Relationship><Relationship Id="rId96" Target="../media/image96.jpeg" Type="http://schemas.openxmlformats.org/officeDocument/2006/relationships/image"></Relationship><Relationship Id="rId97" Target="../media/image97.jpeg" Type="http://schemas.openxmlformats.org/officeDocument/2006/relationships/image"></Relationship><Relationship Id="rId98" Target="../media/image98.jpeg" Type="http://schemas.openxmlformats.org/officeDocument/2006/relationships/image"></Relationship><Relationship Id="rId99" Target="../media/image99.jpeg" Type="http://schemas.openxmlformats.org/officeDocument/2006/relationships/image"></Relationship><Relationship Id="rId100" Target="../media/image100.jpeg" Type="http://schemas.openxmlformats.org/officeDocument/2006/relationships/image"></Relationship><Relationship Id="rId101" Target="../media/image101.jpeg" Type="http://schemas.openxmlformats.org/officeDocument/2006/relationships/image"></Relationship><Relationship Id="rId102" Target="../media/image102.jpeg" Type="http://schemas.openxmlformats.org/officeDocument/2006/relationships/image"></Relationship><Relationship Id="rId103" Target="../media/image103.jpeg" Type="http://schemas.openxmlformats.org/officeDocument/2006/relationships/image"></Relationship><Relationship Id="rId104" Target="../media/image104.jpeg" Type="http://schemas.openxmlformats.org/officeDocument/2006/relationships/image"></Relationship><Relationship Id="rId105" Target="../media/image105.jpeg" Type="http://schemas.openxmlformats.org/officeDocument/2006/relationships/image"></Relationship><Relationship Id="rId106" Target="../media/image106.jpeg" Type="http://schemas.openxmlformats.org/officeDocument/2006/relationships/image"></Relationship><Relationship Id="rId107" Target="../media/image107.jpeg" Type="http://schemas.openxmlformats.org/officeDocument/2006/relationships/image"></Relationship><Relationship Id="rId108" Target="../media/image108.jpeg" Type="http://schemas.openxmlformats.org/officeDocument/2006/relationships/image"></Relationship><Relationship Id="rId109" Target="../media/image109.jpeg" Type="http://schemas.openxmlformats.org/officeDocument/2006/relationships/image"></Relationship></Relationships>
</file>

<file path=xl/drawings/drawing1.xml><?xml version="1.0" encoding="utf-8"?>
<xdr:wsDr xmlns:a="http://schemas.openxmlformats.org/drawingml/2006/main" xmlns:xdr="http://schemas.openxmlformats.org/drawingml/2006/spreadsheetDrawing">
  <xdr:twoCellAnchor>
    <xdr:from>
      <xdr:col>20</xdr:col>
      <xdr:colOff>38100</xdr:colOff>
      <xdr:row>68</xdr:row>
      <xdr:rowOff>38100</xdr:rowOff>
    </xdr:from>
    <xdr:to>
      <xdr:col>21</xdr:col>
      <xdr:colOff>-38100</xdr:colOff>
      <xdr:row>69</xdr:row>
      <xdr:rowOff>-38100</xdr:rowOff>
    </xdr:to>
    <xdr:pic>
      <xdr:nvPicPr>
        <xdr:cNvPr id="2" name="Picture 2" descr="AYVTHd"/>
        <xdr:cNvPicPr>
          <a:picLocks noChangeAspect="false"/>
        </xdr:cNvPicPr>
      </xdr:nvPicPr>
      <xdr:blipFill>
        <a:blip xmlns:r="http://schemas.openxmlformats.org/officeDocument/2006/relationships" r:embed="rId1"/>
        <a:stretch>
          <a:fillRect/>
        </a:stretch>
      </xdr:blipFill>
      <xdr:spPr>
        <a:xfrm>
          <a:off x="0" y="0"/>
          <a:ext cx="0" cy="0"/>
        </a:xfrm>
        <a:prstGeom prst="rect"/>
      </xdr:spPr>
    </xdr:pic>
    <xdr:clientData fLocksWithSheet="false" fPrintsWithSheet="true"/>
  </xdr:twoCellAnchor>
  <xdr:twoCellAnchor>
    <xdr:from>
      <xdr:col>10</xdr:col>
      <xdr:colOff>38100</xdr:colOff>
      <xdr:row>68</xdr:row>
      <xdr:rowOff>38100</xdr:rowOff>
    </xdr:from>
    <xdr:to>
      <xdr:col>11</xdr:col>
      <xdr:colOff>-38100</xdr:colOff>
      <xdr:row>69</xdr:row>
      <xdr:rowOff>-38100</xdr:rowOff>
    </xdr:to>
    <xdr:pic>
      <xdr:nvPicPr>
        <xdr:cNvPr id="3" name="Picture 3" descr="jwwYbj"/>
        <xdr:cNvPicPr>
          <a:picLocks noChangeAspect="false"/>
        </xdr:cNvPicPr>
      </xdr:nvPicPr>
      <xdr:blipFill>
        <a:blip xmlns:r="http://schemas.openxmlformats.org/officeDocument/2006/relationships" r:embed="rId2"/>
        <a:stretch>
          <a:fillRect/>
        </a:stretch>
      </xdr:blipFill>
      <xdr:spPr>
        <a:xfrm>
          <a:off x="0" y="0"/>
          <a:ext cx="0" cy="0"/>
        </a:xfrm>
        <a:prstGeom prst="rect"/>
      </xdr:spPr>
    </xdr:pic>
    <xdr:clientData fLocksWithSheet="false" fPrintsWithSheet="true"/>
  </xdr:twoCellAnchor>
  <xdr:twoCellAnchor>
    <xdr:from>
      <xdr:col>0</xdr:col>
      <xdr:colOff>38100</xdr:colOff>
      <xdr:row>68</xdr:row>
      <xdr:rowOff>38100</xdr:rowOff>
    </xdr:from>
    <xdr:to>
      <xdr:col>1</xdr:col>
      <xdr:colOff>-38100</xdr:colOff>
      <xdr:row>69</xdr:row>
      <xdr:rowOff>-38100</xdr:rowOff>
    </xdr:to>
    <xdr:pic>
      <xdr:nvPicPr>
        <xdr:cNvPr id="4" name="Picture 4" descr="MguWQg"/>
        <xdr:cNvPicPr>
          <a:picLocks noChangeAspect="false"/>
        </xdr:cNvPicPr>
      </xdr:nvPicPr>
      <xdr:blipFill>
        <a:blip xmlns:r="http://schemas.openxmlformats.org/officeDocument/2006/relationships" r:embed="rId3"/>
        <a:stretch>
          <a:fillRect/>
        </a:stretch>
      </xdr:blipFill>
      <xdr:spPr>
        <a:xfrm>
          <a:off x="0" y="0"/>
          <a:ext cx="0" cy="0"/>
        </a:xfrm>
        <a:prstGeom prst="rect"/>
      </xdr:spPr>
    </xdr:pic>
    <xdr:clientData fLocksWithSheet="false" fPrintsWithSheet="true"/>
  </xdr:twoCellAnchor>
  <xdr:twoCellAnchor>
    <xdr:from>
      <xdr:col>30</xdr:col>
      <xdr:colOff>38100</xdr:colOff>
      <xdr:row>68</xdr:row>
      <xdr:rowOff>38100</xdr:rowOff>
    </xdr:from>
    <xdr:to>
      <xdr:col>31</xdr:col>
      <xdr:colOff>-38100</xdr:colOff>
      <xdr:row>69</xdr:row>
      <xdr:rowOff>-38100</xdr:rowOff>
    </xdr:to>
    <xdr:pic>
      <xdr:nvPicPr>
        <xdr:cNvPr id="5" name="Picture 5" descr="cdykTx"/>
        <xdr:cNvPicPr>
          <a:picLocks noChangeAspect="false"/>
        </xdr:cNvPicPr>
      </xdr:nvPicPr>
      <xdr:blipFill>
        <a:blip xmlns:r="http://schemas.openxmlformats.org/officeDocument/2006/relationships" r:embed="rId4"/>
        <a:stretch>
          <a:fillRect/>
        </a:stretch>
      </xdr:blipFill>
      <xdr:spPr>
        <a:xfrm>
          <a:off x="0" y="0"/>
          <a:ext cx="0" cy="0"/>
        </a:xfrm>
        <a:prstGeom prst="rect"/>
      </xdr:spPr>
    </xdr:pic>
    <xdr:clientData fLocksWithSheet="false" fPrintsWithSheet="true"/>
  </xdr:twoCellAnchor>
  <xdr:twoCellAnchor>
    <xdr:from>
      <xdr:col>50</xdr:col>
      <xdr:colOff>38100</xdr:colOff>
      <xdr:row>68</xdr:row>
      <xdr:rowOff>38100</xdr:rowOff>
    </xdr:from>
    <xdr:to>
      <xdr:col>51</xdr:col>
      <xdr:colOff>-38100</xdr:colOff>
      <xdr:row>69</xdr:row>
      <xdr:rowOff>-38100</xdr:rowOff>
    </xdr:to>
    <xdr:pic>
      <xdr:nvPicPr>
        <xdr:cNvPr id="6" name="Picture 6" descr="WFTFoo"/>
        <xdr:cNvPicPr>
          <a:picLocks noChangeAspect="false"/>
        </xdr:cNvPicPr>
      </xdr:nvPicPr>
      <xdr:blipFill>
        <a:blip xmlns:r="http://schemas.openxmlformats.org/officeDocument/2006/relationships" r:embed="rId5"/>
        <a:stretch>
          <a:fillRect/>
        </a:stretch>
      </xdr:blipFill>
      <xdr:spPr>
        <a:xfrm>
          <a:off x="0" y="0"/>
          <a:ext cx="0" cy="0"/>
        </a:xfrm>
        <a:prstGeom prst="rect"/>
      </xdr:spPr>
    </xdr:pic>
    <xdr:clientData fLocksWithSheet="false" fPrintsWithSheet="true"/>
  </xdr:twoCellAnchor>
  <xdr:twoCellAnchor>
    <xdr:from>
      <xdr:col>40</xdr:col>
      <xdr:colOff>38100</xdr:colOff>
      <xdr:row>68</xdr:row>
      <xdr:rowOff>38100</xdr:rowOff>
    </xdr:from>
    <xdr:to>
      <xdr:col>41</xdr:col>
      <xdr:colOff>-38100</xdr:colOff>
      <xdr:row>69</xdr:row>
      <xdr:rowOff>-38100</xdr:rowOff>
    </xdr:to>
    <xdr:pic>
      <xdr:nvPicPr>
        <xdr:cNvPr id="7" name="Picture 7" descr="wMVFIQ"/>
        <xdr:cNvPicPr>
          <a:picLocks noChangeAspect="false"/>
        </xdr:cNvPicPr>
      </xdr:nvPicPr>
      <xdr:blipFill>
        <a:blip xmlns:r="http://schemas.openxmlformats.org/officeDocument/2006/relationships" r:embed="rId6"/>
        <a:stretch>
          <a:fillRect/>
        </a:stretch>
      </xdr:blipFill>
      <xdr:spPr>
        <a:xfrm>
          <a:off x="0" y="0"/>
          <a:ext cx="0" cy="0"/>
        </a:xfrm>
        <a:prstGeom prst="rect"/>
      </xdr:spPr>
    </xdr:pic>
    <xdr:clientData fLocksWithSheet="false" fPrintsWithSheet="true"/>
  </xdr:twoCellAnchor>
  <xdr:twoCellAnchor>
    <xdr:from>
      <xdr:col>30</xdr:col>
      <xdr:colOff>38100</xdr:colOff>
      <xdr:row>50</xdr:row>
      <xdr:rowOff>38100</xdr:rowOff>
    </xdr:from>
    <xdr:to>
      <xdr:col>31</xdr:col>
      <xdr:colOff>-38100</xdr:colOff>
      <xdr:row>51</xdr:row>
      <xdr:rowOff>-38100</xdr:rowOff>
    </xdr:to>
    <xdr:pic>
      <xdr:nvPicPr>
        <xdr:cNvPr id="8" name="Picture 8" descr="PrmOdz"/>
        <xdr:cNvPicPr>
          <a:picLocks noChangeAspect="false"/>
        </xdr:cNvPicPr>
      </xdr:nvPicPr>
      <xdr:blipFill>
        <a:blip xmlns:r="http://schemas.openxmlformats.org/officeDocument/2006/relationships" r:embed="rId7"/>
        <a:stretch>
          <a:fillRect/>
        </a:stretch>
      </xdr:blipFill>
      <xdr:spPr>
        <a:xfrm>
          <a:off x="0" y="0"/>
          <a:ext cx="0" cy="0"/>
        </a:xfrm>
        <a:prstGeom prst="rect"/>
      </xdr:spPr>
    </xdr:pic>
    <xdr:clientData fLocksWithSheet="false" fPrintsWithSheet="true"/>
  </xdr:twoCellAnchor>
  <xdr:twoCellAnchor>
    <xdr:from>
      <xdr:col>40</xdr:col>
      <xdr:colOff>38100</xdr:colOff>
      <xdr:row>50</xdr:row>
      <xdr:rowOff>38100</xdr:rowOff>
    </xdr:from>
    <xdr:to>
      <xdr:col>41</xdr:col>
      <xdr:colOff>-38100</xdr:colOff>
      <xdr:row>51</xdr:row>
      <xdr:rowOff>-38100</xdr:rowOff>
    </xdr:to>
    <xdr:pic>
      <xdr:nvPicPr>
        <xdr:cNvPr id="9" name="Picture 9" descr="zNQfWv"/>
        <xdr:cNvPicPr>
          <a:picLocks noChangeAspect="false"/>
        </xdr:cNvPicPr>
      </xdr:nvPicPr>
      <xdr:blipFill>
        <a:blip xmlns:r="http://schemas.openxmlformats.org/officeDocument/2006/relationships" r:embed="rId8"/>
        <a:stretch>
          <a:fillRect/>
        </a:stretch>
      </xdr:blipFill>
      <xdr:spPr>
        <a:xfrm>
          <a:off x="0" y="0"/>
          <a:ext cx="0" cy="0"/>
        </a:xfrm>
        <a:prstGeom prst="rect"/>
      </xdr:spPr>
    </xdr:pic>
    <xdr:clientData fLocksWithSheet="false" fPrintsWithSheet="true"/>
  </xdr:twoCellAnchor>
  <xdr:twoCellAnchor>
    <xdr:from>
      <xdr:col>50</xdr:col>
      <xdr:colOff>38100</xdr:colOff>
      <xdr:row>50</xdr:row>
      <xdr:rowOff>38100</xdr:rowOff>
    </xdr:from>
    <xdr:to>
      <xdr:col>51</xdr:col>
      <xdr:colOff>-38100</xdr:colOff>
      <xdr:row>51</xdr:row>
      <xdr:rowOff>-38100</xdr:rowOff>
    </xdr:to>
    <xdr:pic>
      <xdr:nvPicPr>
        <xdr:cNvPr id="10" name="Picture 10" descr="ZJFIww"/>
        <xdr:cNvPicPr>
          <a:picLocks noChangeAspect="false"/>
        </xdr:cNvPicPr>
      </xdr:nvPicPr>
      <xdr:blipFill>
        <a:blip xmlns:r="http://schemas.openxmlformats.org/officeDocument/2006/relationships" r:embed="rId9"/>
        <a:stretch>
          <a:fillRect/>
        </a:stretch>
      </xdr:blipFill>
      <xdr:spPr>
        <a:xfrm>
          <a:off x="0" y="0"/>
          <a:ext cx="0" cy="0"/>
        </a:xfrm>
        <a:prstGeom prst="rect"/>
      </xdr:spPr>
    </xdr:pic>
    <xdr:clientData fLocksWithSheet="false" fPrintsWithSheet="true"/>
  </xdr:twoCellAnchor>
  <xdr:twoCellAnchor>
    <xdr:from>
      <xdr:col>10</xdr:col>
      <xdr:colOff>38100</xdr:colOff>
      <xdr:row>50</xdr:row>
      <xdr:rowOff>38100</xdr:rowOff>
    </xdr:from>
    <xdr:to>
      <xdr:col>11</xdr:col>
      <xdr:colOff>-38100</xdr:colOff>
      <xdr:row>51</xdr:row>
      <xdr:rowOff>-38100</xdr:rowOff>
    </xdr:to>
    <xdr:pic>
      <xdr:nvPicPr>
        <xdr:cNvPr id="11" name="Picture 11" descr="SnCrSb"/>
        <xdr:cNvPicPr>
          <a:picLocks noChangeAspect="false"/>
        </xdr:cNvPicPr>
      </xdr:nvPicPr>
      <xdr:blipFill>
        <a:blip xmlns:r="http://schemas.openxmlformats.org/officeDocument/2006/relationships" r:embed="rId10"/>
        <a:stretch>
          <a:fillRect/>
        </a:stretch>
      </xdr:blipFill>
      <xdr:spPr>
        <a:xfrm>
          <a:off x="0" y="0"/>
          <a:ext cx="0" cy="0"/>
        </a:xfrm>
        <a:prstGeom prst="rect"/>
      </xdr:spPr>
    </xdr:pic>
    <xdr:clientData fLocksWithSheet="false" fPrintsWithSheet="true"/>
  </xdr:twoCellAnchor>
  <xdr:twoCellAnchor>
    <xdr:from>
      <xdr:col>20</xdr:col>
      <xdr:colOff>38100</xdr:colOff>
      <xdr:row>50</xdr:row>
      <xdr:rowOff>38100</xdr:rowOff>
    </xdr:from>
    <xdr:to>
      <xdr:col>21</xdr:col>
      <xdr:colOff>-38100</xdr:colOff>
      <xdr:row>51</xdr:row>
      <xdr:rowOff>-38100</xdr:rowOff>
    </xdr:to>
    <xdr:pic>
      <xdr:nvPicPr>
        <xdr:cNvPr id="12" name="Picture 12" descr="WGaIBh"/>
        <xdr:cNvPicPr>
          <a:picLocks noChangeAspect="false"/>
        </xdr:cNvPicPr>
      </xdr:nvPicPr>
      <xdr:blipFill>
        <a:blip xmlns:r="http://schemas.openxmlformats.org/officeDocument/2006/relationships" r:embed="rId11"/>
        <a:stretch>
          <a:fillRect/>
        </a:stretch>
      </xdr:blipFill>
      <xdr:spPr>
        <a:xfrm>
          <a:off x="0" y="0"/>
          <a:ext cx="0" cy="0"/>
        </a:xfrm>
        <a:prstGeom prst="rect"/>
      </xdr:spPr>
    </xdr:pic>
    <xdr:clientData fLocksWithSheet="false" fPrintsWithSheet="true"/>
  </xdr:twoCellAnchor>
  <xdr:twoCellAnchor>
    <xdr:from>
      <xdr:col>0</xdr:col>
      <xdr:colOff>38100</xdr:colOff>
      <xdr:row>50</xdr:row>
      <xdr:rowOff>38100</xdr:rowOff>
    </xdr:from>
    <xdr:to>
      <xdr:col>1</xdr:col>
      <xdr:colOff>-38100</xdr:colOff>
      <xdr:row>51</xdr:row>
      <xdr:rowOff>-38100</xdr:rowOff>
    </xdr:to>
    <xdr:pic>
      <xdr:nvPicPr>
        <xdr:cNvPr id="13" name="Picture 13" descr="emnlHX"/>
        <xdr:cNvPicPr>
          <a:picLocks noChangeAspect="false"/>
        </xdr:cNvPicPr>
      </xdr:nvPicPr>
      <xdr:blipFill>
        <a:blip xmlns:r="http://schemas.openxmlformats.org/officeDocument/2006/relationships" r:embed="rId12"/>
        <a:stretch>
          <a:fillRect/>
        </a:stretch>
      </xdr:blipFill>
      <xdr:spPr>
        <a:xfrm>
          <a:off x="0" y="0"/>
          <a:ext cx="0" cy="0"/>
        </a:xfrm>
        <a:prstGeom prst="rect"/>
      </xdr:spPr>
    </xdr:pic>
    <xdr:clientData fLocksWithSheet="false" fPrintsWithSheet="true"/>
  </xdr:twoCellAnchor>
  <xdr:twoCellAnchor>
    <xdr:from>
      <xdr:col>30</xdr:col>
      <xdr:colOff>38100</xdr:colOff>
      <xdr:row>62</xdr:row>
      <xdr:rowOff>38100</xdr:rowOff>
    </xdr:from>
    <xdr:to>
      <xdr:col>31</xdr:col>
      <xdr:colOff>-38100</xdr:colOff>
      <xdr:row>63</xdr:row>
      <xdr:rowOff>-38100</xdr:rowOff>
    </xdr:to>
    <xdr:pic>
      <xdr:nvPicPr>
        <xdr:cNvPr id="14" name="Picture 14" descr="JEBSJe"/>
        <xdr:cNvPicPr>
          <a:picLocks noChangeAspect="false"/>
        </xdr:cNvPicPr>
      </xdr:nvPicPr>
      <xdr:blipFill>
        <a:blip xmlns:r="http://schemas.openxmlformats.org/officeDocument/2006/relationships" r:embed="rId13"/>
        <a:stretch>
          <a:fillRect/>
        </a:stretch>
      </xdr:blipFill>
      <xdr:spPr>
        <a:xfrm>
          <a:off x="0" y="0"/>
          <a:ext cx="0" cy="0"/>
        </a:xfrm>
        <a:prstGeom prst="rect"/>
      </xdr:spPr>
    </xdr:pic>
    <xdr:clientData fLocksWithSheet="false" fPrintsWithSheet="true"/>
  </xdr:twoCellAnchor>
  <xdr:twoCellAnchor>
    <xdr:from>
      <xdr:col>50</xdr:col>
      <xdr:colOff>38100</xdr:colOff>
      <xdr:row>62</xdr:row>
      <xdr:rowOff>38100</xdr:rowOff>
    </xdr:from>
    <xdr:to>
      <xdr:col>51</xdr:col>
      <xdr:colOff>-38100</xdr:colOff>
      <xdr:row>63</xdr:row>
      <xdr:rowOff>-38100</xdr:rowOff>
    </xdr:to>
    <xdr:pic>
      <xdr:nvPicPr>
        <xdr:cNvPr id="15" name="Picture 15" descr="uWuLxS"/>
        <xdr:cNvPicPr>
          <a:picLocks noChangeAspect="false"/>
        </xdr:cNvPicPr>
      </xdr:nvPicPr>
      <xdr:blipFill>
        <a:blip xmlns:r="http://schemas.openxmlformats.org/officeDocument/2006/relationships" r:embed="rId14"/>
        <a:stretch>
          <a:fillRect/>
        </a:stretch>
      </xdr:blipFill>
      <xdr:spPr>
        <a:xfrm>
          <a:off x="0" y="0"/>
          <a:ext cx="0" cy="0"/>
        </a:xfrm>
        <a:prstGeom prst="rect"/>
      </xdr:spPr>
    </xdr:pic>
    <xdr:clientData fLocksWithSheet="false" fPrintsWithSheet="true"/>
  </xdr:twoCellAnchor>
  <xdr:twoCellAnchor>
    <xdr:from>
      <xdr:col>10</xdr:col>
      <xdr:colOff>38100</xdr:colOff>
      <xdr:row>62</xdr:row>
      <xdr:rowOff>38100</xdr:rowOff>
    </xdr:from>
    <xdr:to>
      <xdr:col>11</xdr:col>
      <xdr:colOff>-38100</xdr:colOff>
      <xdr:row>63</xdr:row>
      <xdr:rowOff>-38100</xdr:rowOff>
    </xdr:to>
    <xdr:pic>
      <xdr:nvPicPr>
        <xdr:cNvPr id="16" name="Picture 16" descr="UOeSwx"/>
        <xdr:cNvPicPr>
          <a:picLocks noChangeAspect="false"/>
        </xdr:cNvPicPr>
      </xdr:nvPicPr>
      <xdr:blipFill>
        <a:blip xmlns:r="http://schemas.openxmlformats.org/officeDocument/2006/relationships" r:embed="rId15"/>
        <a:stretch>
          <a:fillRect/>
        </a:stretch>
      </xdr:blipFill>
      <xdr:spPr>
        <a:xfrm>
          <a:off x="0" y="0"/>
          <a:ext cx="0" cy="0"/>
        </a:xfrm>
        <a:prstGeom prst="rect"/>
      </xdr:spPr>
    </xdr:pic>
    <xdr:clientData fLocksWithSheet="false" fPrintsWithSheet="true"/>
  </xdr:twoCellAnchor>
  <xdr:twoCellAnchor>
    <xdr:from>
      <xdr:col>40</xdr:col>
      <xdr:colOff>38100</xdr:colOff>
      <xdr:row>62</xdr:row>
      <xdr:rowOff>38100</xdr:rowOff>
    </xdr:from>
    <xdr:to>
      <xdr:col>41</xdr:col>
      <xdr:colOff>-38100</xdr:colOff>
      <xdr:row>63</xdr:row>
      <xdr:rowOff>-38100</xdr:rowOff>
    </xdr:to>
    <xdr:pic>
      <xdr:nvPicPr>
        <xdr:cNvPr id="17" name="Picture 17" descr="RWjTxR"/>
        <xdr:cNvPicPr>
          <a:picLocks noChangeAspect="false"/>
        </xdr:cNvPicPr>
      </xdr:nvPicPr>
      <xdr:blipFill>
        <a:blip xmlns:r="http://schemas.openxmlformats.org/officeDocument/2006/relationships" r:embed="rId16"/>
        <a:stretch>
          <a:fillRect/>
        </a:stretch>
      </xdr:blipFill>
      <xdr:spPr>
        <a:xfrm>
          <a:off x="0" y="0"/>
          <a:ext cx="0" cy="0"/>
        </a:xfrm>
        <a:prstGeom prst="rect"/>
      </xdr:spPr>
    </xdr:pic>
    <xdr:clientData fLocksWithSheet="false" fPrintsWithSheet="true"/>
  </xdr:twoCellAnchor>
  <xdr:twoCellAnchor>
    <xdr:from>
      <xdr:col>0</xdr:col>
      <xdr:colOff>38100</xdr:colOff>
      <xdr:row>62</xdr:row>
      <xdr:rowOff>38100</xdr:rowOff>
    </xdr:from>
    <xdr:to>
      <xdr:col>1</xdr:col>
      <xdr:colOff>-38100</xdr:colOff>
      <xdr:row>63</xdr:row>
      <xdr:rowOff>-38100</xdr:rowOff>
    </xdr:to>
    <xdr:pic>
      <xdr:nvPicPr>
        <xdr:cNvPr id="18" name="Picture 18" descr="oQyNMh"/>
        <xdr:cNvPicPr>
          <a:picLocks noChangeAspect="false"/>
        </xdr:cNvPicPr>
      </xdr:nvPicPr>
      <xdr:blipFill>
        <a:blip xmlns:r="http://schemas.openxmlformats.org/officeDocument/2006/relationships" r:embed="rId17"/>
        <a:stretch>
          <a:fillRect/>
        </a:stretch>
      </xdr:blipFill>
      <xdr:spPr>
        <a:xfrm>
          <a:off x="0" y="0"/>
          <a:ext cx="0" cy="0"/>
        </a:xfrm>
        <a:prstGeom prst="rect"/>
      </xdr:spPr>
    </xdr:pic>
    <xdr:clientData fLocksWithSheet="false" fPrintsWithSheet="true"/>
  </xdr:twoCellAnchor>
  <xdr:twoCellAnchor>
    <xdr:from>
      <xdr:col>20</xdr:col>
      <xdr:colOff>38100</xdr:colOff>
      <xdr:row>62</xdr:row>
      <xdr:rowOff>38100</xdr:rowOff>
    </xdr:from>
    <xdr:to>
      <xdr:col>21</xdr:col>
      <xdr:colOff>-38100</xdr:colOff>
      <xdr:row>63</xdr:row>
      <xdr:rowOff>-38100</xdr:rowOff>
    </xdr:to>
    <xdr:pic>
      <xdr:nvPicPr>
        <xdr:cNvPr id="19" name="Picture 19" descr="jMaRoY"/>
        <xdr:cNvPicPr>
          <a:picLocks noChangeAspect="false"/>
        </xdr:cNvPicPr>
      </xdr:nvPicPr>
      <xdr:blipFill>
        <a:blip xmlns:r="http://schemas.openxmlformats.org/officeDocument/2006/relationships" r:embed="rId18"/>
        <a:stretch>
          <a:fillRect/>
        </a:stretch>
      </xdr:blipFill>
      <xdr:spPr>
        <a:xfrm>
          <a:off x="0" y="0"/>
          <a:ext cx="0" cy="0"/>
        </a:xfrm>
        <a:prstGeom prst="rect"/>
      </xdr:spPr>
    </xdr:pic>
    <xdr:clientData fLocksWithSheet="false" fPrintsWithSheet="true"/>
  </xdr:twoCellAnchor>
  <xdr:twoCellAnchor>
    <xdr:from>
      <xdr:col>40</xdr:col>
      <xdr:colOff>38100</xdr:colOff>
      <xdr:row>92</xdr:row>
      <xdr:rowOff>38100</xdr:rowOff>
    </xdr:from>
    <xdr:to>
      <xdr:col>41</xdr:col>
      <xdr:colOff>-38100</xdr:colOff>
      <xdr:row>93</xdr:row>
      <xdr:rowOff>-38100</xdr:rowOff>
    </xdr:to>
    <xdr:pic>
      <xdr:nvPicPr>
        <xdr:cNvPr id="20" name="Picture 20" descr="vSuOZr"/>
        <xdr:cNvPicPr>
          <a:picLocks noChangeAspect="false"/>
        </xdr:cNvPicPr>
      </xdr:nvPicPr>
      <xdr:blipFill>
        <a:blip xmlns:r="http://schemas.openxmlformats.org/officeDocument/2006/relationships" r:embed="rId19"/>
        <a:stretch>
          <a:fillRect/>
        </a:stretch>
      </xdr:blipFill>
      <xdr:spPr>
        <a:xfrm>
          <a:off x="0" y="0"/>
          <a:ext cx="0" cy="0"/>
        </a:xfrm>
        <a:prstGeom prst="rect"/>
      </xdr:spPr>
    </xdr:pic>
    <xdr:clientData fLocksWithSheet="false" fPrintsWithSheet="true"/>
  </xdr:twoCellAnchor>
  <xdr:twoCellAnchor>
    <xdr:from>
      <xdr:col>0</xdr:col>
      <xdr:colOff>38100</xdr:colOff>
      <xdr:row>92</xdr:row>
      <xdr:rowOff>38100</xdr:rowOff>
    </xdr:from>
    <xdr:to>
      <xdr:col>1</xdr:col>
      <xdr:colOff>-38100</xdr:colOff>
      <xdr:row>93</xdr:row>
      <xdr:rowOff>-38100</xdr:rowOff>
    </xdr:to>
    <xdr:pic>
      <xdr:nvPicPr>
        <xdr:cNvPr id="21" name="Picture 21" descr="lEUthe"/>
        <xdr:cNvPicPr>
          <a:picLocks noChangeAspect="false"/>
        </xdr:cNvPicPr>
      </xdr:nvPicPr>
      <xdr:blipFill>
        <a:blip xmlns:r="http://schemas.openxmlformats.org/officeDocument/2006/relationships" r:embed="rId20"/>
        <a:stretch>
          <a:fillRect/>
        </a:stretch>
      </xdr:blipFill>
      <xdr:spPr>
        <a:xfrm>
          <a:off x="0" y="0"/>
          <a:ext cx="0" cy="0"/>
        </a:xfrm>
        <a:prstGeom prst="rect"/>
      </xdr:spPr>
    </xdr:pic>
    <xdr:clientData fLocksWithSheet="false" fPrintsWithSheet="true"/>
  </xdr:twoCellAnchor>
  <xdr:twoCellAnchor>
    <xdr:from>
      <xdr:col>50</xdr:col>
      <xdr:colOff>38100</xdr:colOff>
      <xdr:row>92</xdr:row>
      <xdr:rowOff>38100</xdr:rowOff>
    </xdr:from>
    <xdr:to>
      <xdr:col>51</xdr:col>
      <xdr:colOff>-38100</xdr:colOff>
      <xdr:row>93</xdr:row>
      <xdr:rowOff>-38100</xdr:rowOff>
    </xdr:to>
    <xdr:pic>
      <xdr:nvPicPr>
        <xdr:cNvPr id="22" name="Picture 22" descr="clryMl"/>
        <xdr:cNvPicPr>
          <a:picLocks noChangeAspect="false"/>
        </xdr:cNvPicPr>
      </xdr:nvPicPr>
      <xdr:blipFill>
        <a:blip xmlns:r="http://schemas.openxmlformats.org/officeDocument/2006/relationships" r:embed="rId21"/>
        <a:stretch>
          <a:fillRect/>
        </a:stretch>
      </xdr:blipFill>
      <xdr:spPr>
        <a:xfrm>
          <a:off x="0" y="0"/>
          <a:ext cx="0" cy="0"/>
        </a:xfrm>
        <a:prstGeom prst="rect"/>
      </xdr:spPr>
    </xdr:pic>
    <xdr:clientData fLocksWithSheet="false" fPrintsWithSheet="true"/>
  </xdr:twoCellAnchor>
  <xdr:twoCellAnchor>
    <xdr:from>
      <xdr:col>10</xdr:col>
      <xdr:colOff>38100</xdr:colOff>
      <xdr:row>92</xdr:row>
      <xdr:rowOff>38100</xdr:rowOff>
    </xdr:from>
    <xdr:to>
      <xdr:col>11</xdr:col>
      <xdr:colOff>-38100</xdr:colOff>
      <xdr:row>93</xdr:row>
      <xdr:rowOff>-38100</xdr:rowOff>
    </xdr:to>
    <xdr:pic>
      <xdr:nvPicPr>
        <xdr:cNvPr id="23" name="Picture 23" descr="ECEZEB"/>
        <xdr:cNvPicPr>
          <a:picLocks noChangeAspect="false"/>
        </xdr:cNvPicPr>
      </xdr:nvPicPr>
      <xdr:blipFill>
        <a:blip xmlns:r="http://schemas.openxmlformats.org/officeDocument/2006/relationships" r:embed="rId22"/>
        <a:stretch>
          <a:fillRect/>
        </a:stretch>
      </xdr:blipFill>
      <xdr:spPr>
        <a:xfrm>
          <a:off x="0" y="0"/>
          <a:ext cx="0" cy="0"/>
        </a:xfrm>
        <a:prstGeom prst="rect"/>
      </xdr:spPr>
    </xdr:pic>
    <xdr:clientData fLocksWithSheet="false" fPrintsWithSheet="true"/>
  </xdr:twoCellAnchor>
  <xdr:twoCellAnchor>
    <xdr:from>
      <xdr:col>20</xdr:col>
      <xdr:colOff>38100</xdr:colOff>
      <xdr:row>92</xdr:row>
      <xdr:rowOff>38100</xdr:rowOff>
    </xdr:from>
    <xdr:to>
      <xdr:col>21</xdr:col>
      <xdr:colOff>-38100</xdr:colOff>
      <xdr:row>93</xdr:row>
      <xdr:rowOff>-38100</xdr:rowOff>
    </xdr:to>
    <xdr:pic>
      <xdr:nvPicPr>
        <xdr:cNvPr id="24" name="Picture 24" descr="qPfYZf"/>
        <xdr:cNvPicPr>
          <a:picLocks noChangeAspect="false"/>
        </xdr:cNvPicPr>
      </xdr:nvPicPr>
      <xdr:blipFill>
        <a:blip xmlns:r="http://schemas.openxmlformats.org/officeDocument/2006/relationships" r:embed="rId23"/>
        <a:stretch>
          <a:fillRect/>
        </a:stretch>
      </xdr:blipFill>
      <xdr:spPr>
        <a:xfrm>
          <a:off x="0" y="0"/>
          <a:ext cx="0" cy="0"/>
        </a:xfrm>
        <a:prstGeom prst="rect"/>
      </xdr:spPr>
    </xdr:pic>
    <xdr:clientData fLocksWithSheet="false" fPrintsWithSheet="true"/>
  </xdr:twoCellAnchor>
  <xdr:twoCellAnchor>
    <xdr:from>
      <xdr:col>0</xdr:col>
      <xdr:colOff>38100</xdr:colOff>
      <xdr:row>8</xdr:row>
      <xdr:rowOff>38100</xdr:rowOff>
    </xdr:from>
    <xdr:to>
      <xdr:col>1</xdr:col>
      <xdr:colOff>-38100</xdr:colOff>
      <xdr:row>9</xdr:row>
      <xdr:rowOff>-38100</xdr:rowOff>
    </xdr:to>
    <xdr:pic>
      <xdr:nvPicPr>
        <xdr:cNvPr id="25" name="Picture 25" descr="VGVfJR"/>
        <xdr:cNvPicPr>
          <a:picLocks noChangeAspect="false"/>
        </xdr:cNvPicPr>
      </xdr:nvPicPr>
      <xdr:blipFill>
        <a:blip xmlns:r="http://schemas.openxmlformats.org/officeDocument/2006/relationships" r:embed="rId24"/>
        <a:stretch>
          <a:fillRect/>
        </a:stretch>
      </xdr:blipFill>
      <xdr:spPr>
        <a:xfrm>
          <a:off x="0" y="0"/>
          <a:ext cx="0" cy="0"/>
        </a:xfrm>
        <a:prstGeom prst="rect"/>
      </xdr:spPr>
    </xdr:pic>
    <xdr:clientData fLocksWithSheet="false" fPrintsWithSheet="true"/>
  </xdr:twoCellAnchor>
  <xdr:twoCellAnchor>
    <xdr:from>
      <xdr:col>40</xdr:col>
      <xdr:colOff>38100</xdr:colOff>
      <xdr:row>8</xdr:row>
      <xdr:rowOff>38100</xdr:rowOff>
    </xdr:from>
    <xdr:to>
      <xdr:col>41</xdr:col>
      <xdr:colOff>-38100</xdr:colOff>
      <xdr:row>9</xdr:row>
      <xdr:rowOff>-38100</xdr:rowOff>
    </xdr:to>
    <xdr:pic>
      <xdr:nvPicPr>
        <xdr:cNvPr id="26" name="Picture 26" descr="DsZFgM"/>
        <xdr:cNvPicPr>
          <a:picLocks noChangeAspect="false"/>
        </xdr:cNvPicPr>
      </xdr:nvPicPr>
      <xdr:blipFill>
        <a:blip xmlns:r="http://schemas.openxmlformats.org/officeDocument/2006/relationships" r:embed="rId25"/>
        <a:stretch>
          <a:fillRect/>
        </a:stretch>
      </xdr:blipFill>
      <xdr:spPr>
        <a:xfrm>
          <a:off x="0" y="0"/>
          <a:ext cx="0" cy="0"/>
        </a:xfrm>
        <a:prstGeom prst="rect"/>
      </xdr:spPr>
    </xdr:pic>
    <xdr:clientData fLocksWithSheet="false" fPrintsWithSheet="true"/>
  </xdr:twoCellAnchor>
  <xdr:twoCellAnchor>
    <xdr:from>
      <xdr:col>50</xdr:col>
      <xdr:colOff>38100</xdr:colOff>
      <xdr:row>8</xdr:row>
      <xdr:rowOff>38100</xdr:rowOff>
    </xdr:from>
    <xdr:to>
      <xdr:col>51</xdr:col>
      <xdr:colOff>-38100</xdr:colOff>
      <xdr:row>9</xdr:row>
      <xdr:rowOff>-38100</xdr:rowOff>
    </xdr:to>
    <xdr:pic>
      <xdr:nvPicPr>
        <xdr:cNvPr id="27" name="Picture 27" descr="XmOlUd"/>
        <xdr:cNvPicPr>
          <a:picLocks noChangeAspect="false"/>
        </xdr:cNvPicPr>
      </xdr:nvPicPr>
      <xdr:blipFill>
        <a:blip xmlns:r="http://schemas.openxmlformats.org/officeDocument/2006/relationships" r:embed="rId26"/>
        <a:stretch>
          <a:fillRect/>
        </a:stretch>
      </xdr:blipFill>
      <xdr:spPr>
        <a:xfrm>
          <a:off x="0" y="0"/>
          <a:ext cx="0" cy="0"/>
        </a:xfrm>
        <a:prstGeom prst="rect"/>
      </xdr:spPr>
    </xdr:pic>
    <xdr:clientData fLocksWithSheet="false" fPrintsWithSheet="true"/>
  </xdr:twoCellAnchor>
  <xdr:twoCellAnchor>
    <xdr:from>
      <xdr:col>20</xdr:col>
      <xdr:colOff>38100</xdr:colOff>
      <xdr:row>8</xdr:row>
      <xdr:rowOff>38100</xdr:rowOff>
    </xdr:from>
    <xdr:to>
      <xdr:col>21</xdr:col>
      <xdr:colOff>-38100</xdr:colOff>
      <xdr:row>9</xdr:row>
      <xdr:rowOff>-38100</xdr:rowOff>
    </xdr:to>
    <xdr:pic>
      <xdr:nvPicPr>
        <xdr:cNvPr id="28" name="Picture 28" descr="KIogyk"/>
        <xdr:cNvPicPr>
          <a:picLocks noChangeAspect="false"/>
        </xdr:cNvPicPr>
      </xdr:nvPicPr>
      <xdr:blipFill>
        <a:blip xmlns:r="http://schemas.openxmlformats.org/officeDocument/2006/relationships" r:embed="rId27"/>
        <a:stretch>
          <a:fillRect/>
        </a:stretch>
      </xdr:blipFill>
      <xdr:spPr>
        <a:xfrm>
          <a:off x="0" y="0"/>
          <a:ext cx="0" cy="0"/>
        </a:xfrm>
        <a:prstGeom prst="rect"/>
      </xdr:spPr>
    </xdr:pic>
    <xdr:clientData fLocksWithSheet="false" fPrintsWithSheet="true"/>
  </xdr:twoCellAnchor>
  <xdr:twoCellAnchor>
    <xdr:from>
      <xdr:col>30</xdr:col>
      <xdr:colOff>38100</xdr:colOff>
      <xdr:row>8</xdr:row>
      <xdr:rowOff>38100</xdr:rowOff>
    </xdr:from>
    <xdr:to>
      <xdr:col>31</xdr:col>
      <xdr:colOff>-38100</xdr:colOff>
      <xdr:row>9</xdr:row>
      <xdr:rowOff>-38100</xdr:rowOff>
    </xdr:to>
    <xdr:pic>
      <xdr:nvPicPr>
        <xdr:cNvPr id="29" name="Picture 29" descr="lHbCXV"/>
        <xdr:cNvPicPr>
          <a:picLocks noChangeAspect="false"/>
        </xdr:cNvPicPr>
      </xdr:nvPicPr>
      <xdr:blipFill>
        <a:blip xmlns:r="http://schemas.openxmlformats.org/officeDocument/2006/relationships" r:embed="rId28"/>
        <a:stretch>
          <a:fillRect/>
        </a:stretch>
      </xdr:blipFill>
      <xdr:spPr>
        <a:xfrm>
          <a:off x="0" y="0"/>
          <a:ext cx="0" cy="0"/>
        </a:xfrm>
        <a:prstGeom prst="rect"/>
      </xdr:spPr>
    </xdr:pic>
    <xdr:clientData fLocksWithSheet="false" fPrintsWithSheet="true"/>
  </xdr:twoCellAnchor>
  <xdr:twoCellAnchor>
    <xdr:from>
      <xdr:col>10</xdr:col>
      <xdr:colOff>38100</xdr:colOff>
      <xdr:row>8</xdr:row>
      <xdr:rowOff>38100</xdr:rowOff>
    </xdr:from>
    <xdr:to>
      <xdr:col>11</xdr:col>
      <xdr:colOff>-38100</xdr:colOff>
      <xdr:row>9</xdr:row>
      <xdr:rowOff>-38100</xdr:rowOff>
    </xdr:to>
    <xdr:pic>
      <xdr:nvPicPr>
        <xdr:cNvPr id="30" name="Picture 30" descr="ROxZJs"/>
        <xdr:cNvPicPr>
          <a:picLocks noChangeAspect="false"/>
        </xdr:cNvPicPr>
      </xdr:nvPicPr>
      <xdr:blipFill>
        <a:blip xmlns:r="http://schemas.openxmlformats.org/officeDocument/2006/relationships" r:embed="rId29"/>
        <a:stretch>
          <a:fillRect/>
        </a:stretch>
      </xdr:blipFill>
      <xdr:spPr>
        <a:xfrm>
          <a:off x="0" y="0"/>
          <a:ext cx="0" cy="0"/>
        </a:xfrm>
        <a:prstGeom prst="rect"/>
      </xdr:spPr>
    </xdr:pic>
    <xdr:clientData fLocksWithSheet="false" fPrintsWithSheet="true"/>
  </xdr:twoCellAnchor>
  <xdr:twoCellAnchor>
    <xdr:from>
      <xdr:col>20</xdr:col>
      <xdr:colOff>38100</xdr:colOff>
      <xdr:row>38</xdr:row>
      <xdr:rowOff>38100</xdr:rowOff>
    </xdr:from>
    <xdr:to>
      <xdr:col>21</xdr:col>
      <xdr:colOff>-38100</xdr:colOff>
      <xdr:row>39</xdr:row>
      <xdr:rowOff>-38100</xdr:rowOff>
    </xdr:to>
    <xdr:pic>
      <xdr:nvPicPr>
        <xdr:cNvPr id="31" name="Picture 31" descr="yyxbAA"/>
        <xdr:cNvPicPr>
          <a:picLocks noChangeAspect="false"/>
        </xdr:cNvPicPr>
      </xdr:nvPicPr>
      <xdr:blipFill>
        <a:blip xmlns:r="http://schemas.openxmlformats.org/officeDocument/2006/relationships" r:embed="rId30"/>
        <a:stretch>
          <a:fillRect/>
        </a:stretch>
      </xdr:blipFill>
      <xdr:spPr>
        <a:xfrm>
          <a:off x="0" y="0"/>
          <a:ext cx="0" cy="0"/>
        </a:xfrm>
        <a:prstGeom prst="rect"/>
      </xdr:spPr>
    </xdr:pic>
    <xdr:clientData fLocksWithSheet="false" fPrintsWithSheet="true"/>
  </xdr:twoCellAnchor>
  <xdr:twoCellAnchor>
    <xdr:from>
      <xdr:col>30</xdr:col>
      <xdr:colOff>38100</xdr:colOff>
      <xdr:row>38</xdr:row>
      <xdr:rowOff>38100</xdr:rowOff>
    </xdr:from>
    <xdr:to>
      <xdr:col>31</xdr:col>
      <xdr:colOff>-38100</xdr:colOff>
      <xdr:row>39</xdr:row>
      <xdr:rowOff>-38100</xdr:rowOff>
    </xdr:to>
    <xdr:pic>
      <xdr:nvPicPr>
        <xdr:cNvPr id="32" name="Picture 32" descr="EhbHnf"/>
        <xdr:cNvPicPr>
          <a:picLocks noChangeAspect="false"/>
        </xdr:cNvPicPr>
      </xdr:nvPicPr>
      <xdr:blipFill>
        <a:blip xmlns:r="http://schemas.openxmlformats.org/officeDocument/2006/relationships" r:embed="rId31"/>
        <a:stretch>
          <a:fillRect/>
        </a:stretch>
      </xdr:blipFill>
      <xdr:spPr>
        <a:xfrm>
          <a:off x="0" y="0"/>
          <a:ext cx="0" cy="0"/>
        </a:xfrm>
        <a:prstGeom prst="rect"/>
      </xdr:spPr>
    </xdr:pic>
    <xdr:clientData fLocksWithSheet="false" fPrintsWithSheet="true"/>
  </xdr:twoCellAnchor>
  <xdr:twoCellAnchor>
    <xdr:from>
      <xdr:col>10</xdr:col>
      <xdr:colOff>38100</xdr:colOff>
      <xdr:row>38</xdr:row>
      <xdr:rowOff>38100</xdr:rowOff>
    </xdr:from>
    <xdr:to>
      <xdr:col>11</xdr:col>
      <xdr:colOff>-38100</xdr:colOff>
      <xdr:row>39</xdr:row>
      <xdr:rowOff>-38100</xdr:rowOff>
    </xdr:to>
    <xdr:pic>
      <xdr:nvPicPr>
        <xdr:cNvPr id="33" name="Picture 33" descr="dTFzmO"/>
        <xdr:cNvPicPr>
          <a:picLocks noChangeAspect="false"/>
        </xdr:cNvPicPr>
      </xdr:nvPicPr>
      <xdr:blipFill>
        <a:blip xmlns:r="http://schemas.openxmlformats.org/officeDocument/2006/relationships" r:embed="rId32"/>
        <a:stretch>
          <a:fillRect/>
        </a:stretch>
      </xdr:blipFill>
      <xdr:spPr>
        <a:xfrm>
          <a:off x="0" y="0"/>
          <a:ext cx="0" cy="0"/>
        </a:xfrm>
        <a:prstGeom prst="rect"/>
      </xdr:spPr>
    </xdr:pic>
    <xdr:clientData fLocksWithSheet="false" fPrintsWithSheet="true"/>
  </xdr:twoCellAnchor>
  <xdr:twoCellAnchor>
    <xdr:from>
      <xdr:col>0</xdr:col>
      <xdr:colOff>38100</xdr:colOff>
      <xdr:row>38</xdr:row>
      <xdr:rowOff>38100</xdr:rowOff>
    </xdr:from>
    <xdr:to>
      <xdr:col>1</xdr:col>
      <xdr:colOff>-38100</xdr:colOff>
      <xdr:row>39</xdr:row>
      <xdr:rowOff>-38100</xdr:rowOff>
    </xdr:to>
    <xdr:pic>
      <xdr:nvPicPr>
        <xdr:cNvPr id="34" name="Picture 34" descr="FbeVwN"/>
        <xdr:cNvPicPr>
          <a:picLocks noChangeAspect="false"/>
        </xdr:cNvPicPr>
      </xdr:nvPicPr>
      <xdr:blipFill>
        <a:blip xmlns:r="http://schemas.openxmlformats.org/officeDocument/2006/relationships" r:embed="rId33"/>
        <a:stretch>
          <a:fillRect/>
        </a:stretch>
      </xdr:blipFill>
      <xdr:spPr>
        <a:xfrm>
          <a:off x="0" y="0"/>
          <a:ext cx="0" cy="0"/>
        </a:xfrm>
        <a:prstGeom prst="rect"/>
      </xdr:spPr>
    </xdr:pic>
    <xdr:clientData fLocksWithSheet="false" fPrintsWithSheet="true"/>
  </xdr:twoCellAnchor>
  <xdr:twoCellAnchor>
    <xdr:from>
      <xdr:col>50</xdr:col>
      <xdr:colOff>38100</xdr:colOff>
      <xdr:row>38</xdr:row>
      <xdr:rowOff>38100</xdr:rowOff>
    </xdr:from>
    <xdr:to>
      <xdr:col>51</xdr:col>
      <xdr:colOff>-38100</xdr:colOff>
      <xdr:row>39</xdr:row>
      <xdr:rowOff>-38100</xdr:rowOff>
    </xdr:to>
    <xdr:pic>
      <xdr:nvPicPr>
        <xdr:cNvPr id="35" name="Picture 35" descr="OsfPzS"/>
        <xdr:cNvPicPr>
          <a:picLocks noChangeAspect="false"/>
        </xdr:cNvPicPr>
      </xdr:nvPicPr>
      <xdr:blipFill>
        <a:blip xmlns:r="http://schemas.openxmlformats.org/officeDocument/2006/relationships" r:embed="rId34"/>
        <a:stretch>
          <a:fillRect/>
        </a:stretch>
      </xdr:blipFill>
      <xdr:spPr>
        <a:xfrm>
          <a:off x="0" y="0"/>
          <a:ext cx="0" cy="0"/>
        </a:xfrm>
        <a:prstGeom prst="rect"/>
      </xdr:spPr>
    </xdr:pic>
    <xdr:clientData fLocksWithSheet="false" fPrintsWithSheet="true"/>
  </xdr:twoCellAnchor>
  <xdr:twoCellAnchor>
    <xdr:from>
      <xdr:col>40</xdr:col>
      <xdr:colOff>38100</xdr:colOff>
      <xdr:row>38</xdr:row>
      <xdr:rowOff>38100</xdr:rowOff>
    </xdr:from>
    <xdr:to>
      <xdr:col>41</xdr:col>
      <xdr:colOff>-38100</xdr:colOff>
      <xdr:row>39</xdr:row>
      <xdr:rowOff>-38100</xdr:rowOff>
    </xdr:to>
    <xdr:pic>
      <xdr:nvPicPr>
        <xdr:cNvPr id="36" name="Picture 36" descr="wHGPtN"/>
        <xdr:cNvPicPr>
          <a:picLocks noChangeAspect="false"/>
        </xdr:cNvPicPr>
      </xdr:nvPicPr>
      <xdr:blipFill>
        <a:blip xmlns:r="http://schemas.openxmlformats.org/officeDocument/2006/relationships" r:embed="rId35"/>
        <a:stretch>
          <a:fillRect/>
        </a:stretch>
      </xdr:blipFill>
      <xdr:spPr>
        <a:xfrm>
          <a:off x="0" y="0"/>
          <a:ext cx="0" cy="0"/>
        </a:xfrm>
        <a:prstGeom prst="rect"/>
      </xdr:spPr>
    </xdr:pic>
    <xdr:clientData fLocksWithSheet="false" fPrintsWithSheet="true"/>
  </xdr:twoCellAnchor>
  <xdr:twoCellAnchor>
    <xdr:from>
      <xdr:col>10</xdr:col>
      <xdr:colOff>38100</xdr:colOff>
      <xdr:row>116</xdr:row>
      <xdr:rowOff>38100</xdr:rowOff>
    </xdr:from>
    <xdr:to>
      <xdr:col>11</xdr:col>
      <xdr:colOff>-38100</xdr:colOff>
      <xdr:row>117</xdr:row>
      <xdr:rowOff>-38100</xdr:rowOff>
    </xdr:to>
    <xdr:pic>
      <xdr:nvPicPr>
        <xdr:cNvPr id="37" name="Picture 37" descr="KuESdG"/>
        <xdr:cNvPicPr>
          <a:picLocks noChangeAspect="false"/>
        </xdr:cNvPicPr>
      </xdr:nvPicPr>
      <xdr:blipFill>
        <a:blip xmlns:r="http://schemas.openxmlformats.org/officeDocument/2006/relationships" r:embed="rId36"/>
        <a:stretch>
          <a:fillRect/>
        </a:stretch>
      </xdr:blipFill>
      <xdr:spPr>
        <a:xfrm>
          <a:off x="0" y="0"/>
          <a:ext cx="0" cy="0"/>
        </a:xfrm>
        <a:prstGeom prst="rect"/>
      </xdr:spPr>
    </xdr:pic>
    <xdr:clientData fLocksWithSheet="false" fPrintsWithSheet="true"/>
  </xdr:twoCellAnchor>
  <xdr:twoCellAnchor>
    <xdr:from>
      <xdr:col>20</xdr:col>
      <xdr:colOff>38100</xdr:colOff>
      <xdr:row>116</xdr:row>
      <xdr:rowOff>38100</xdr:rowOff>
    </xdr:from>
    <xdr:to>
      <xdr:col>21</xdr:col>
      <xdr:colOff>-38100</xdr:colOff>
      <xdr:row>117</xdr:row>
      <xdr:rowOff>-38100</xdr:rowOff>
    </xdr:to>
    <xdr:pic>
      <xdr:nvPicPr>
        <xdr:cNvPr id="38" name="Picture 38" descr="kzTyWV"/>
        <xdr:cNvPicPr>
          <a:picLocks noChangeAspect="false"/>
        </xdr:cNvPicPr>
      </xdr:nvPicPr>
      <xdr:blipFill>
        <a:blip xmlns:r="http://schemas.openxmlformats.org/officeDocument/2006/relationships" r:embed="rId37"/>
        <a:stretch>
          <a:fillRect/>
        </a:stretch>
      </xdr:blipFill>
      <xdr:spPr>
        <a:xfrm>
          <a:off x="0" y="0"/>
          <a:ext cx="0" cy="0"/>
        </a:xfrm>
        <a:prstGeom prst="rect"/>
      </xdr:spPr>
    </xdr:pic>
    <xdr:clientData fLocksWithSheet="false" fPrintsWithSheet="true"/>
  </xdr:twoCellAnchor>
  <xdr:twoCellAnchor>
    <xdr:from>
      <xdr:col>20</xdr:col>
      <xdr:colOff>38100</xdr:colOff>
      <xdr:row>98</xdr:row>
      <xdr:rowOff>38100</xdr:rowOff>
    </xdr:from>
    <xdr:to>
      <xdr:col>21</xdr:col>
      <xdr:colOff>-38100</xdr:colOff>
      <xdr:row>99</xdr:row>
      <xdr:rowOff>-38100</xdr:rowOff>
    </xdr:to>
    <xdr:pic>
      <xdr:nvPicPr>
        <xdr:cNvPr id="39" name="Picture 39" descr="cqsjJt"/>
        <xdr:cNvPicPr>
          <a:picLocks noChangeAspect="false"/>
        </xdr:cNvPicPr>
      </xdr:nvPicPr>
      <xdr:blipFill>
        <a:blip xmlns:r="http://schemas.openxmlformats.org/officeDocument/2006/relationships" r:embed="rId38"/>
        <a:stretch>
          <a:fillRect/>
        </a:stretch>
      </xdr:blipFill>
      <xdr:spPr>
        <a:xfrm>
          <a:off x="0" y="0"/>
          <a:ext cx="0" cy="0"/>
        </a:xfrm>
        <a:prstGeom prst="rect"/>
      </xdr:spPr>
    </xdr:pic>
    <xdr:clientData fLocksWithSheet="false" fPrintsWithSheet="true"/>
  </xdr:twoCellAnchor>
  <xdr:twoCellAnchor>
    <xdr:from>
      <xdr:col>0</xdr:col>
      <xdr:colOff>38100</xdr:colOff>
      <xdr:row>98</xdr:row>
      <xdr:rowOff>38100</xdr:rowOff>
    </xdr:from>
    <xdr:to>
      <xdr:col>1</xdr:col>
      <xdr:colOff>-38100</xdr:colOff>
      <xdr:row>99</xdr:row>
      <xdr:rowOff>-38100</xdr:rowOff>
    </xdr:to>
    <xdr:pic>
      <xdr:nvPicPr>
        <xdr:cNvPr id="40" name="Picture 40" descr="yKwnVf"/>
        <xdr:cNvPicPr>
          <a:picLocks noChangeAspect="false"/>
        </xdr:cNvPicPr>
      </xdr:nvPicPr>
      <xdr:blipFill>
        <a:blip xmlns:r="http://schemas.openxmlformats.org/officeDocument/2006/relationships" r:embed="rId39"/>
        <a:stretch>
          <a:fillRect/>
        </a:stretch>
      </xdr:blipFill>
      <xdr:spPr>
        <a:xfrm>
          <a:off x="0" y="0"/>
          <a:ext cx="0" cy="0"/>
        </a:xfrm>
        <a:prstGeom prst="rect"/>
      </xdr:spPr>
    </xdr:pic>
    <xdr:clientData fLocksWithSheet="false" fPrintsWithSheet="true"/>
  </xdr:twoCellAnchor>
  <xdr:twoCellAnchor>
    <xdr:from>
      <xdr:col>40</xdr:col>
      <xdr:colOff>38100</xdr:colOff>
      <xdr:row>98</xdr:row>
      <xdr:rowOff>38100</xdr:rowOff>
    </xdr:from>
    <xdr:to>
      <xdr:col>41</xdr:col>
      <xdr:colOff>-38100</xdr:colOff>
      <xdr:row>99</xdr:row>
      <xdr:rowOff>-38100</xdr:rowOff>
    </xdr:to>
    <xdr:pic>
      <xdr:nvPicPr>
        <xdr:cNvPr id="41" name="Picture 41" descr="aPNpmb"/>
        <xdr:cNvPicPr>
          <a:picLocks noChangeAspect="false"/>
        </xdr:cNvPicPr>
      </xdr:nvPicPr>
      <xdr:blipFill>
        <a:blip xmlns:r="http://schemas.openxmlformats.org/officeDocument/2006/relationships" r:embed="rId40"/>
        <a:stretch>
          <a:fillRect/>
        </a:stretch>
      </xdr:blipFill>
      <xdr:spPr>
        <a:xfrm>
          <a:off x="0" y="0"/>
          <a:ext cx="0" cy="0"/>
        </a:xfrm>
        <a:prstGeom prst="rect"/>
      </xdr:spPr>
    </xdr:pic>
    <xdr:clientData fLocksWithSheet="false" fPrintsWithSheet="true"/>
  </xdr:twoCellAnchor>
  <xdr:twoCellAnchor>
    <xdr:from>
      <xdr:col>10</xdr:col>
      <xdr:colOff>38100</xdr:colOff>
      <xdr:row>98</xdr:row>
      <xdr:rowOff>38100</xdr:rowOff>
    </xdr:from>
    <xdr:to>
      <xdr:col>11</xdr:col>
      <xdr:colOff>-38100</xdr:colOff>
      <xdr:row>99</xdr:row>
      <xdr:rowOff>-38100</xdr:rowOff>
    </xdr:to>
    <xdr:pic>
      <xdr:nvPicPr>
        <xdr:cNvPr id="42" name="Picture 42" descr="jBqMmi"/>
        <xdr:cNvPicPr>
          <a:picLocks noChangeAspect="false"/>
        </xdr:cNvPicPr>
      </xdr:nvPicPr>
      <xdr:blipFill>
        <a:blip xmlns:r="http://schemas.openxmlformats.org/officeDocument/2006/relationships" r:embed="rId41"/>
        <a:stretch>
          <a:fillRect/>
        </a:stretch>
      </xdr:blipFill>
      <xdr:spPr>
        <a:xfrm>
          <a:off x="0" y="0"/>
          <a:ext cx="0" cy="0"/>
        </a:xfrm>
        <a:prstGeom prst="rect"/>
      </xdr:spPr>
    </xdr:pic>
    <xdr:clientData fLocksWithSheet="false" fPrintsWithSheet="true"/>
  </xdr:twoCellAnchor>
  <xdr:twoCellAnchor>
    <xdr:from>
      <xdr:col>50</xdr:col>
      <xdr:colOff>38100</xdr:colOff>
      <xdr:row>74</xdr:row>
      <xdr:rowOff>38100</xdr:rowOff>
    </xdr:from>
    <xdr:to>
      <xdr:col>51</xdr:col>
      <xdr:colOff>-38100</xdr:colOff>
      <xdr:row>75</xdr:row>
      <xdr:rowOff>-38100</xdr:rowOff>
    </xdr:to>
    <xdr:pic>
      <xdr:nvPicPr>
        <xdr:cNvPr id="43" name="Picture 43" descr="DSSGfv"/>
        <xdr:cNvPicPr>
          <a:picLocks noChangeAspect="false"/>
        </xdr:cNvPicPr>
      </xdr:nvPicPr>
      <xdr:blipFill>
        <a:blip xmlns:r="http://schemas.openxmlformats.org/officeDocument/2006/relationships" r:embed="rId42"/>
        <a:stretch>
          <a:fillRect/>
        </a:stretch>
      </xdr:blipFill>
      <xdr:spPr>
        <a:xfrm>
          <a:off x="0" y="0"/>
          <a:ext cx="0" cy="0"/>
        </a:xfrm>
        <a:prstGeom prst="rect"/>
      </xdr:spPr>
    </xdr:pic>
    <xdr:clientData fLocksWithSheet="false" fPrintsWithSheet="true"/>
  </xdr:twoCellAnchor>
  <xdr:twoCellAnchor>
    <xdr:from>
      <xdr:col>30</xdr:col>
      <xdr:colOff>38100</xdr:colOff>
      <xdr:row>74</xdr:row>
      <xdr:rowOff>38100</xdr:rowOff>
    </xdr:from>
    <xdr:to>
      <xdr:col>31</xdr:col>
      <xdr:colOff>-38100</xdr:colOff>
      <xdr:row>75</xdr:row>
      <xdr:rowOff>-38100</xdr:rowOff>
    </xdr:to>
    <xdr:pic>
      <xdr:nvPicPr>
        <xdr:cNvPr id="44" name="Picture 44" descr="gLKIJr"/>
        <xdr:cNvPicPr>
          <a:picLocks noChangeAspect="false"/>
        </xdr:cNvPicPr>
      </xdr:nvPicPr>
      <xdr:blipFill>
        <a:blip xmlns:r="http://schemas.openxmlformats.org/officeDocument/2006/relationships" r:embed="rId43"/>
        <a:stretch>
          <a:fillRect/>
        </a:stretch>
      </xdr:blipFill>
      <xdr:spPr>
        <a:xfrm>
          <a:off x="0" y="0"/>
          <a:ext cx="0" cy="0"/>
        </a:xfrm>
        <a:prstGeom prst="rect"/>
      </xdr:spPr>
    </xdr:pic>
    <xdr:clientData fLocksWithSheet="false" fPrintsWithSheet="true"/>
  </xdr:twoCellAnchor>
  <xdr:twoCellAnchor>
    <xdr:from>
      <xdr:col>10</xdr:col>
      <xdr:colOff>38100</xdr:colOff>
      <xdr:row>74</xdr:row>
      <xdr:rowOff>38100</xdr:rowOff>
    </xdr:from>
    <xdr:to>
      <xdr:col>11</xdr:col>
      <xdr:colOff>-38100</xdr:colOff>
      <xdr:row>75</xdr:row>
      <xdr:rowOff>-38100</xdr:rowOff>
    </xdr:to>
    <xdr:pic>
      <xdr:nvPicPr>
        <xdr:cNvPr id="45" name="Picture 45" descr="YpShqC"/>
        <xdr:cNvPicPr>
          <a:picLocks noChangeAspect="false"/>
        </xdr:cNvPicPr>
      </xdr:nvPicPr>
      <xdr:blipFill>
        <a:blip xmlns:r="http://schemas.openxmlformats.org/officeDocument/2006/relationships" r:embed="rId44"/>
        <a:stretch>
          <a:fillRect/>
        </a:stretch>
      </xdr:blipFill>
      <xdr:spPr>
        <a:xfrm>
          <a:off x="0" y="0"/>
          <a:ext cx="0" cy="0"/>
        </a:xfrm>
        <a:prstGeom prst="rect"/>
      </xdr:spPr>
    </xdr:pic>
    <xdr:clientData fLocksWithSheet="false" fPrintsWithSheet="true"/>
  </xdr:twoCellAnchor>
  <xdr:twoCellAnchor>
    <xdr:from>
      <xdr:col>20</xdr:col>
      <xdr:colOff>38100</xdr:colOff>
      <xdr:row>74</xdr:row>
      <xdr:rowOff>38100</xdr:rowOff>
    </xdr:from>
    <xdr:to>
      <xdr:col>21</xdr:col>
      <xdr:colOff>-38100</xdr:colOff>
      <xdr:row>75</xdr:row>
      <xdr:rowOff>-38100</xdr:rowOff>
    </xdr:to>
    <xdr:pic>
      <xdr:nvPicPr>
        <xdr:cNvPr id="46" name="Picture 46" descr="kJDJzS"/>
        <xdr:cNvPicPr>
          <a:picLocks noChangeAspect="false"/>
        </xdr:cNvPicPr>
      </xdr:nvPicPr>
      <xdr:blipFill>
        <a:blip xmlns:r="http://schemas.openxmlformats.org/officeDocument/2006/relationships" r:embed="rId45"/>
        <a:stretch>
          <a:fillRect/>
        </a:stretch>
      </xdr:blipFill>
      <xdr:spPr>
        <a:xfrm>
          <a:off x="0" y="0"/>
          <a:ext cx="0" cy="0"/>
        </a:xfrm>
        <a:prstGeom prst="rect"/>
      </xdr:spPr>
    </xdr:pic>
    <xdr:clientData fLocksWithSheet="false" fPrintsWithSheet="true"/>
  </xdr:twoCellAnchor>
  <xdr:twoCellAnchor>
    <xdr:from>
      <xdr:col>0</xdr:col>
      <xdr:colOff>38100</xdr:colOff>
      <xdr:row>74</xdr:row>
      <xdr:rowOff>38100</xdr:rowOff>
    </xdr:from>
    <xdr:to>
      <xdr:col>1</xdr:col>
      <xdr:colOff>-38100</xdr:colOff>
      <xdr:row>75</xdr:row>
      <xdr:rowOff>-38100</xdr:rowOff>
    </xdr:to>
    <xdr:pic>
      <xdr:nvPicPr>
        <xdr:cNvPr id="47" name="Picture 47" descr="HgGpci"/>
        <xdr:cNvPicPr>
          <a:picLocks noChangeAspect="false"/>
        </xdr:cNvPicPr>
      </xdr:nvPicPr>
      <xdr:blipFill>
        <a:blip xmlns:r="http://schemas.openxmlformats.org/officeDocument/2006/relationships" r:embed="rId46"/>
        <a:stretch>
          <a:fillRect/>
        </a:stretch>
      </xdr:blipFill>
      <xdr:spPr>
        <a:xfrm>
          <a:off x="0" y="0"/>
          <a:ext cx="0" cy="0"/>
        </a:xfrm>
        <a:prstGeom prst="rect"/>
      </xdr:spPr>
    </xdr:pic>
    <xdr:clientData fLocksWithSheet="false" fPrintsWithSheet="true"/>
  </xdr:twoCellAnchor>
  <xdr:twoCellAnchor>
    <xdr:from>
      <xdr:col>40</xdr:col>
      <xdr:colOff>38100</xdr:colOff>
      <xdr:row>74</xdr:row>
      <xdr:rowOff>38100</xdr:rowOff>
    </xdr:from>
    <xdr:to>
      <xdr:col>41</xdr:col>
      <xdr:colOff>-38100</xdr:colOff>
      <xdr:row>75</xdr:row>
      <xdr:rowOff>-38100</xdr:rowOff>
    </xdr:to>
    <xdr:pic>
      <xdr:nvPicPr>
        <xdr:cNvPr id="48" name="Picture 48" descr="EZdpeZ"/>
        <xdr:cNvPicPr>
          <a:picLocks noChangeAspect="false"/>
        </xdr:cNvPicPr>
      </xdr:nvPicPr>
      <xdr:blipFill>
        <a:blip xmlns:r="http://schemas.openxmlformats.org/officeDocument/2006/relationships" r:embed="rId47"/>
        <a:stretch>
          <a:fillRect/>
        </a:stretch>
      </xdr:blipFill>
      <xdr:spPr>
        <a:xfrm>
          <a:off x="0" y="0"/>
          <a:ext cx="0" cy="0"/>
        </a:xfrm>
        <a:prstGeom prst="rect"/>
      </xdr:spPr>
    </xdr:pic>
    <xdr:clientData fLocksWithSheet="false" fPrintsWithSheet="true"/>
  </xdr:twoCellAnchor>
  <xdr:twoCellAnchor>
    <xdr:from>
      <xdr:col>10</xdr:col>
      <xdr:colOff>38100</xdr:colOff>
      <xdr:row>20</xdr:row>
      <xdr:rowOff>38100</xdr:rowOff>
    </xdr:from>
    <xdr:to>
      <xdr:col>11</xdr:col>
      <xdr:colOff>-38100</xdr:colOff>
      <xdr:row>21</xdr:row>
      <xdr:rowOff>-38100</xdr:rowOff>
    </xdr:to>
    <xdr:pic>
      <xdr:nvPicPr>
        <xdr:cNvPr id="49" name="Picture 49" descr="jZczVU"/>
        <xdr:cNvPicPr>
          <a:picLocks noChangeAspect="false"/>
        </xdr:cNvPicPr>
      </xdr:nvPicPr>
      <xdr:blipFill>
        <a:blip xmlns:r="http://schemas.openxmlformats.org/officeDocument/2006/relationships" r:embed="rId48"/>
        <a:stretch>
          <a:fillRect/>
        </a:stretch>
      </xdr:blipFill>
      <xdr:spPr>
        <a:xfrm>
          <a:off x="0" y="0"/>
          <a:ext cx="0" cy="0"/>
        </a:xfrm>
        <a:prstGeom prst="rect"/>
      </xdr:spPr>
    </xdr:pic>
    <xdr:clientData fLocksWithSheet="false" fPrintsWithSheet="true"/>
  </xdr:twoCellAnchor>
  <xdr:twoCellAnchor>
    <xdr:from>
      <xdr:col>20</xdr:col>
      <xdr:colOff>38100</xdr:colOff>
      <xdr:row>20</xdr:row>
      <xdr:rowOff>38100</xdr:rowOff>
    </xdr:from>
    <xdr:to>
      <xdr:col>21</xdr:col>
      <xdr:colOff>-38100</xdr:colOff>
      <xdr:row>21</xdr:row>
      <xdr:rowOff>-38100</xdr:rowOff>
    </xdr:to>
    <xdr:pic>
      <xdr:nvPicPr>
        <xdr:cNvPr id="50" name="Picture 50" descr="IYOfFB"/>
        <xdr:cNvPicPr>
          <a:picLocks noChangeAspect="false"/>
        </xdr:cNvPicPr>
      </xdr:nvPicPr>
      <xdr:blipFill>
        <a:blip xmlns:r="http://schemas.openxmlformats.org/officeDocument/2006/relationships" r:embed="rId49"/>
        <a:stretch>
          <a:fillRect/>
        </a:stretch>
      </xdr:blipFill>
      <xdr:spPr>
        <a:xfrm>
          <a:off x="0" y="0"/>
          <a:ext cx="0" cy="0"/>
        </a:xfrm>
        <a:prstGeom prst="rect"/>
      </xdr:spPr>
    </xdr:pic>
    <xdr:clientData fLocksWithSheet="false" fPrintsWithSheet="true"/>
  </xdr:twoCellAnchor>
  <xdr:twoCellAnchor>
    <xdr:from>
      <xdr:col>0</xdr:col>
      <xdr:colOff>38100</xdr:colOff>
      <xdr:row>20</xdr:row>
      <xdr:rowOff>38100</xdr:rowOff>
    </xdr:from>
    <xdr:to>
      <xdr:col>1</xdr:col>
      <xdr:colOff>-38100</xdr:colOff>
      <xdr:row>21</xdr:row>
      <xdr:rowOff>-38100</xdr:rowOff>
    </xdr:to>
    <xdr:pic>
      <xdr:nvPicPr>
        <xdr:cNvPr id="51" name="Picture 51" descr="NrVKqE"/>
        <xdr:cNvPicPr>
          <a:picLocks noChangeAspect="false"/>
        </xdr:cNvPicPr>
      </xdr:nvPicPr>
      <xdr:blipFill>
        <a:blip xmlns:r="http://schemas.openxmlformats.org/officeDocument/2006/relationships" r:embed="rId50"/>
        <a:stretch>
          <a:fillRect/>
        </a:stretch>
      </xdr:blipFill>
      <xdr:spPr>
        <a:xfrm>
          <a:off x="0" y="0"/>
          <a:ext cx="0" cy="0"/>
        </a:xfrm>
        <a:prstGeom prst="rect"/>
      </xdr:spPr>
    </xdr:pic>
    <xdr:clientData fLocksWithSheet="false" fPrintsWithSheet="true"/>
  </xdr:twoCellAnchor>
  <xdr:twoCellAnchor>
    <xdr:from>
      <xdr:col>40</xdr:col>
      <xdr:colOff>38100</xdr:colOff>
      <xdr:row>20</xdr:row>
      <xdr:rowOff>38100</xdr:rowOff>
    </xdr:from>
    <xdr:to>
      <xdr:col>41</xdr:col>
      <xdr:colOff>-38100</xdr:colOff>
      <xdr:row>21</xdr:row>
      <xdr:rowOff>-38100</xdr:rowOff>
    </xdr:to>
    <xdr:pic>
      <xdr:nvPicPr>
        <xdr:cNvPr id="52" name="Picture 52" descr="WEjqLc"/>
        <xdr:cNvPicPr>
          <a:picLocks noChangeAspect="false"/>
        </xdr:cNvPicPr>
      </xdr:nvPicPr>
      <xdr:blipFill>
        <a:blip xmlns:r="http://schemas.openxmlformats.org/officeDocument/2006/relationships" r:embed="rId51"/>
        <a:stretch>
          <a:fillRect/>
        </a:stretch>
      </xdr:blipFill>
      <xdr:spPr>
        <a:xfrm>
          <a:off x="0" y="0"/>
          <a:ext cx="0" cy="0"/>
        </a:xfrm>
        <a:prstGeom prst="rect"/>
      </xdr:spPr>
    </xdr:pic>
    <xdr:clientData fLocksWithSheet="false" fPrintsWithSheet="true"/>
  </xdr:twoCellAnchor>
  <xdr:twoCellAnchor>
    <xdr:from>
      <xdr:col>50</xdr:col>
      <xdr:colOff>38100</xdr:colOff>
      <xdr:row>20</xdr:row>
      <xdr:rowOff>38100</xdr:rowOff>
    </xdr:from>
    <xdr:to>
      <xdr:col>51</xdr:col>
      <xdr:colOff>-38100</xdr:colOff>
      <xdr:row>21</xdr:row>
      <xdr:rowOff>-38100</xdr:rowOff>
    </xdr:to>
    <xdr:pic>
      <xdr:nvPicPr>
        <xdr:cNvPr id="53" name="Picture 53" descr="MrljYi"/>
        <xdr:cNvPicPr>
          <a:picLocks noChangeAspect="false"/>
        </xdr:cNvPicPr>
      </xdr:nvPicPr>
      <xdr:blipFill>
        <a:blip xmlns:r="http://schemas.openxmlformats.org/officeDocument/2006/relationships" r:embed="rId52"/>
        <a:stretch>
          <a:fillRect/>
        </a:stretch>
      </xdr:blipFill>
      <xdr:spPr>
        <a:xfrm>
          <a:off x="0" y="0"/>
          <a:ext cx="0" cy="0"/>
        </a:xfrm>
        <a:prstGeom prst="rect"/>
      </xdr:spPr>
    </xdr:pic>
    <xdr:clientData fLocksWithSheet="false" fPrintsWithSheet="true"/>
  </xdr:twoCellAnchor>
  <xdr:twoCellAnchor>
    <xdr:from>
      <xdr:col>30</xdr:col>
      <xdr:colOff>38100</xdr:colOff>
      <xdr:row>20</xdr:row>
      <xdr:rowOff>38100</xdr:rowOff>
    </xdr:from>
    <xdr:to>
      <xdr:col>31</xdr:col>
      <xdr:colOff>-38100</xdr:colOff>
      <xdr:row>21</xdr:row>
      <xdr:rowOff>-38100</xdr:rowOff>
    </xdr:to>
    <xdr:pic>
      <xdr:nvPicPr>
        <xdr:cNvPr id="54" name="Picture 54" descr="AZoSQM"/>
        <xdr:cNvPicPr>
          <a:picLocks noChangeAspect="false"/>
        </xdr:cNvPicPr>
      </xdr:nvPicPr>
      <xdr:blipFill>
        <a:blip xmlns:r="http://schemas.openxmlformats.org/officeDocument/2006/relationships" r:embed="rId53"/>
        <a:stretch>
          <a:fillRect/>
        </a:stretch>
      </xdr:blipFill>
      <xdr:spPr>
        <a:xfrm>
          <a:off x="0" y="0"/>
          <a:ext cx="0" cy="0"/>
        </a:xfrm>
        <a:prstGeom prst="rect"/>
      </xdr:spPr>
    </xdr:pic>
    <xdr:clientData fLocksWithSheet="false" fPrintsWithSheet="true"/>
  </xdr:twoCellAnchor>
  <xdr:twoCellAnchor>
    <xdr:from>
      <xdr:col>10</xdr:col>
      <xdr:colOff>38100</xdr:colOff>
      <xdr:row>110</xdr:row>
      <xdr:rowOff>38100</xdr:rowOff>
    </xdr:from>
    <xdr:to>
      <xdr:col>11</xdr:col>
      <xdr:colOff>-38100</xdr:colOff>
      <xdr:row>111</xdr:row>
      <xdr:rowOff>-38100</xdr:rowOff>
    </xdr:to>
    <xdr:pic>
      <xdr:nvPicPr>
        <xdr:cNvPr id="55" name="Picture 55" descr="BBSeYk"/>
        <xdr:cNvPicPr>
          <a:picLocks noChangeAspect="false"/>
        </xdr:cNvPicPr>
      </xdr:nvPicPr>
      <xdr:blipFill>
        <a:blip xmlns:r="http://schemas.openxmlformats.org/officeDocument/2006/relationships" r:embed="rId54"/>
        <a:stretch>
          <a:fillRect/>
        </a:stretch>
      </xdr:blipFill>
      <xdr:spPr>
        <a:xfrm>
          <a:off x="0" y="0"/>
          <a:ext cx="0" cy="0"/>
        </a:xfrm>
        <a:prstGeom prst="rect"/>
      </xdr:spPr>
    </xdr:pic>
    <xdr:clientData fLocksWithSheet="false" fPrintsWithSheet="true"/>
  </xdr:twoCellAnchor>
  <xdr:twoCellAnchor>
    <xdr:from>
      <xdr:col>20</xdr:col>
      <xdr:colOff>38100</xdr:colOff>
      <xdr:row>110</xdr:row>
      <xdr:rowOff>38100</xdr:rowOff>
    </xdr:from>
    <xdr:to>
      <xdr:col>21</xdr:col>
      <xdr:colOff>-38100</xdr:colOff>
      <xdr:row>111</xdr:row>
      <xdr:rowOff>-38100</xdr:rowOff>
    </xdr:to>
    <xdr:pic>
      <xdr:nvPicPr>
        <xdr:cNvPr id="56" name="Picture 56" descr="MBwNtX"/>
        <xdr:cNvPicPr>
          <a:picLocks noChangeAspect="false"/>
        </xdr:cNvPicPr>
      </xdr:nvPicPr>
      <xdr:blipFill>
        <a:blip xmlns:r="http://schemas.openxmlformats.org/officeDocument/2006/relationships" r:embed="rId55"/>
        <a:stretch>
          <a:fillRect/>
        </a:stretch>
      </xdr:blipFill>
      <xdr:spPr>
        <a:xfrm>
          <a:off x="0" y="0"/>
          <a:ext cx="0" cy="0"/>
        </a:xfrm>
        <a:prstGeom prst="rect"/>
      </xdr:spPr>
    </xdr:pic>
    <xdr:clientData fLocksWithSheet="false" fPrintsWithSheet="true"/>
  </xdr:twoCellAnchor>
  <xdr:twoCellAnchor>
    <xdr:from>
      <xdr:col>40</xdr:col>
      <xdr:colOff>38100</xdr:colOff>
      <xdr:row>44</xdr:row>
      <xdr:rowOff>38100</xdr:rowOff>
    </xdr:from>
    <xdr:to>
      <xdr:col>41</xdr:col>
      <xdr:colOff>-38100</xdr:colOff>
      <xdr:row>45</xdr:row>
      <xdr:rowOff>-38100</xdr:rowOff>
    </xdr:to>
    <xdr:pic>
      <xdr:nvPicPr>
        <xdr:cNvPr id="57" name="Picture 57" descr="lNRrPD"/>
        <xdr:cNvPicPr>
          <a:picLocks noChangeAspect="false"/>
        </xdr:cNvPicPr>
      </xdr:nvPicPr>
      <xdr:blipFill>
        <a:blip xmlns:r="http://schemas.openxmlformats.org/officeDocument/2006/relationships" r:embed="rId56"/>
        <a:stretch>
          <a:fillRect/>
        </a:stretch>
      </xdr:blipFill>
      <xdr:spPr>
        <a:xfrm>
          <a:off x="0" y="0"/>
          <a:ext cx="0" cy="0"/>
        </a:xfrm>
        <a:prstGeom prst="rect"/>
      </xdr:spPr>
    </xdr:pic>
    <xdr:clientData fLocksWithSheet="false" fPrintsWithSheet="true"/>
  </xdr:twoCellAnchor>
  <xdr:twoCellAnchor>
    <xdr:from>
      <xdr:col>50</xdr:col>
      <xdr:colOff>38100</xdr:colOff>
      <xdr:row>44</xdr:row>
      <xdr:rowOff>38100</xdr:rowOff>
    </xdr:from>
    <xdr:to>
      <xdr:col>51</xdr:col>
      <xdr:colOff>-38100</xdr:colOff>
      <xdr:row>45</xdr:row>
      <xdr:rowOff>-38100</xdr:rowOff>
    </xdr:to>
    <xdr:pic>
      <xdr:nvPicPr>
        <xdr:cNvPr id="58" name="Picture 58" descr="Dtxpzb"/>
        <xdr:cNvPicPr>
          <a:picLocks noChangeAspect="false"/>
        </xdr:cNvPicPr>
      </xdr:nvPicPr>
      <xdr:blipFill>
        <a:blip xmlns:r="http://schemas.openxmlformats.org/officeDocument/2006/relationships" r:embed="rId57"/>
        <a:stretch>
          <a:fillRect/>
        </a:stretch>
      </xdr:blipFill>
      <xdr:spPr>
        <a:xfrm>
          <a:off x="0" y="0"/>
          <a:ext cx="0" cy="0"/>
        </a:xfrm>
        <a:prstGeom prst="rect"/>
      </xdr:spPr>
    </xdr:pic>
    <xdr:clientData fLocksWithSheet="false" fPrintsWithSheet="true"/>
  </xdr:twoCellAnchor>
  <xdr:twoCellAnchor>
    <xdr:from>
      <xdr:col>10</xdr:col>
      <xdr:colOff>38100</xdr:colOff>
      <xdr:row>44</xdr:row>
      <xdr:rowOff>38100</xdr:rowOff>
    </xdr:from>
    <xdr:to>
      <xdr:col>11</xdr:col>
      <xdr:colOff>-38100</xdr:colOff>
      <xdr:row>45</xdr:row>
      <xdr:rowOff>-38100</xdr:rowOff>
    </xdr:to>
    <xdr:pic>
      <xdr:nvPicPr>
        <xdr:cNvPr id="59" name="Picture 59" descr="VFzThk"/>
        <xdr:cNvPicPr>
          <a:picLocks noChangeAspect="false"/>
        </xdr:cNvPicPr>
      </xdr:nvPicPr>
      <xdr:blipFill>
        <a:blip xmlns:r="http://schemas.openxmlformats.org/officeDocument/2006/relationships" r:embed="rId58"/>
        <a:stretch>
          <a:fillRect/>
        </a:stretch>
      </xdr:blipFill>
      <xdr:spPr>
        <a:xfrm>
          <a:off x="0" y="0"/>
          <a:ext cx="0" cy="0"/>
        </a:xfrm>
        <a:prstGeom prst="rect"/>
      </xdr:spPr>
    </xdr:pic>
    <xdr:clientData fLocksWithSheet="false" fPrintsWithSheet="true"/>
  </xdr:twoCellAnchor>
  <xdr:twoCellAnchor>
    <xdr:from>
      <xdr:col>0</xdr:col>
      <xdr:colOff>38100</xdr:colOff>
      <xdr:row>44</xdr:row>
      <xdr:rowOff>38100</xdr:rowOff>
    </xdr:from>
    <xdr:to>
      <xdr:col>1</xdr:col>
      <xdr:colOff>-38100</xdr:colOff>
      <xdr:row>45</xdr:row>
      <xdr:rowOff>-38100</xdr:rowOff>
    </xdr:to>
    <xdr:pic>
      <xdr:nvPicPr>
        <xdr:cNvPr id="60" name="Picture 60" descr="KzYbrs"/>
        <xdr:cNvPicPr>
          <a:picLocks noChangeAspect="false"/>
        </xdr:cNvPicPr>
      </xdr:nvPicPr>
      <xdr:blipFill>
        <a:blip xmlns:r="http://schemas.openxmlformats.org/officeDocument/2006/relationships" r:embed="rId59"/>
        <a:stretch>
          <a:fillRect/>
        </a:stretch>
      </xdr:blipFill>
      <xdr:spPr>
        <a:xfrm>
          <a:off x="0" y="0"/>
          <a:ext cx="0" cy="0"/>
        </a:xfrm>
        <a:prstGeom prst="rect"/>
      </xdr:spPr>
    </xdr:pic>
    <xdr:clientData fLocksWithSheet="false" fPrintsWithSheet="true"/>
  </xdr:twoCellAnchor>
  <xdr:twoCellAnchor>
    <xdr:from>
      <xdr:col>20</xdr:col>
      <xdr:colOff>38100</xdr:colOff>
      <xdr:row>44</xdr:row>
      <xdr:rowOff>38100</xdr:rowOff>
    </xdr:from>
    <xdr:to>
      <xdr:col>21</xdr:col>
      <xdr:colOff>-38100</xdr:colOff>
      <xdr:row>45</xdr:row>
      <xdr:rowOff>-38100</xdr:rowOff>
    </xdr:to>
    <xdr:pic>
      <xdr:nvPicPr>
        <xdr:cNvPr id="61" name="Picture 61" descr="mWPVWR"/>
        <xdr:cNvPicPr>
          <a:picLocks noChangeAspect="false"/>
        </xdr:cNvPicPr>
      </xdr:nvPicPr>
      <xdr:blipFill>
        <a:blip xmlns:r="http://schemas.openxmlformats.org/officeDocument/2006/relationships" r:embed="rId60"/>
        <a:stretch>
          <a:fillRect/>
        </a:stretch>
      </xdr:blipFill>
      <xdr:spPr>
        <a:xfrm>
          <a:off x="0" y="0"/>
          <a:ext cx="0" cy="0"/>
        </a:xfrm>
        <a:prstGeom prst="rect"/>
      </xdr:spPr>
    </xdr:pic>
    <xdr:clientData fLocksWithSheet="false" fPrintsWithSheet="true"/>
  </xdr:twoCellAnchor>
  <xdr:twoCellAnchor>
    <xdr:from>
      <xdr:col>30</xdr:col>
      <xdr:colOff>38100</xdr:colOff>
      <xdr:row>44</xdr:row>
      <xdr:rowOff>38100</xdr:rowOff>
    </xdr:from>
    <xdr:to>
      <xdr:col>31</xdr:col>
      <xdr:colOff>-38100</xdr:colOff>
      <xdr:row>45</xdr:row>
      <xdr:rowOff>-38100</xdr:rowOff>
    </xdr:to>
    <xdr:pic>
      <xdr:nvPicPr>
        <xdr:cNvPr id="62" name="Picture 62" descr="gQVWen"/>
        <xdr:cNvPicPr>
          <a:picLocks noChangeAspect="false"/>
        </xdr:cNvPicPr>
      </xdr:nvPicPr>
      <xdr:blipFill>
        <a:blip xmlns:r="http://schemas.openxmlformats.org/officeDocument/2006/relationships" r:embed="rId61"/>
        <a:stretch>
          <a:fillRect/>
        </a:stretch>
      </xdr:blipFill>
      <xdr:spPr>
        <a:xfrm>
          <a:off x="0" y="0"/>
          <a:ext cx="0" cy="0"/>
        </a:xfrm>
        <a:prstGeom prst="rect"/>
      </xdr:spPr>
    </xdr:pic>
    <xdr:clientData fLocksWithSheet="false" fPrintsWithSheet="true"/>
  </xdr:twoCellAnchor>
  <xdr:twoCellAnchor>
    <xdr:from>
      <xdr:col>20</xdr:col>
      <xdr:colOff>38100</xdr:colOff>
      <xdr:row>104</xdr:row>
      <xdr:rowOff>38100</xdr:rowOff>
    </xdr:from>
    <xdr:to>
      <xdr:col>21</xdr:col>
      <xdr:colOff>-38100</xdr:colOff>
      <xdr:row>105</xdr:row>
      <xdr:rowOff>-38100</xdr:rowOff>
    </xdr:to>
    <xdr:pic>
      <xdr:nvPicPr>
        <xdr:cNvPr id="63" name="Picture 63" descr="PfPyZg"/>
        <xdr:cNvPicPr>
          <a:picLocks noChangeAspect="false"/>
        </xdr:cNvPicPr>
      </xdr:nvPicPr>
      <xdr:blipFill>
        <a:blip xmlns:r="http://schemas.openxmlformats.org/officeDocument/2006/relationships" r:embed="rId62"/>
        <a:stretch>
          <a:fillRect/>
        </a:stretch>
      </xdr:blipFill>
      <xdr:spPr>
        <a:xfrm>
          <a:off x="0" y="0"/>
          <a:ext cx="0" cy="0"/>
        </a:xfrm>
        <a:prstGeom prst="rect"/>
      </xdr:spPr>
    </xdr:pic>
    <xdr:clientData fLocksWithSheet="false" fPrintsWithSheet="true"/>
  </xdr:twoCellAnchor>
  <xdr:twoCellAnchor>
    <xdr:from>
      <xdr:col>0</xdr:col>
      <xdr:colOff>38100</xdr:colOff>
      <xdr:row>104</xdr:row>
      <xdr:rowOff>38100</xdr:rowOff>
    </xdr:from>
    <xdr:to>
      <xdr:col>1</xdr:col>
      <xdr:colOff>-38100</xdr:colOff>
      <xdr:row>105</xdr:row>
      <xdr:rowOff>-38100</xdr:rowOff>
    </xdr:to>
    <xdr:pic>
      <xdr:nvPicPr>
        <xdr:cNvPr id="64" name="Picture 64" descr="XUCCgJ"/>
        <xdr:cNvPicPr>
          <a:picLocks noChangeAspect="false"/>
        </xdr:cNvPicPr>
      </xdr:nvPicPr>
      <xdr:blipFill>
        <a:blip xmlns:r="http://schemas.openxmlformats.org/officeDocument/2006/relationships" r:embed="rId63"/>
        <a:stretch>
          <a:fillRect/>
        </a:stretch>
      </xdr:blipFill>
      <xdr:spPr>
        <a:xfrm>
          <a:off x="0" y="0"/>
          <a:ext cx="0" cy="0"/>
        </a:xfrm>
        <a:prstGeom prst="rect"/>
      </xdr:spPr>
    </xdr:pic>
    <xdr:clientData fLocksWithSheet="false" fPrintsWithSheet="true"/>
  </xdr:twoCellAnchor>
  <xdr:twoCellAnchor>
    <xdr:from>
      <xdr:col>40</xdr:col>
      <xdr:colOff>38100</xdr:colOff>
      <xdr:row>104</xdr:row>
      <xdr:rowOff>38100</xdr:rowOff>
    </xdr:from>
    <xdr:to>
      <xdr:col>41</xdr:col>
      <xdr:colOff>-38100</xdr:colOff>
      <xdr:row>105</xdr:row>
      <xdr:rowOff>-38100</xdr:rowOff>
    </xdr:to>
    <xdr:pic>
      <xdr:nvPicPr>
        <xdr:cNvPr id="65" name="Picture 65" descr="kxLnUo"/>
        <xdr:cNvPicPr>
          <a:picLocks noChangeAspect="false"/>
        </xdr:cNvPicPr>
      </xdr:nvPicPr>
      <xdr:blipFill>
        <a:blip xmlns:r="http://schemas.openxmlformats.org/officeDocument/2006/relationships" r:embed="rId64"/>
        <a:stretch>
          <a:fillRect/>
        </a:stretch>
      </xdr:blipFill>
      <xdr:spPr>
        <a:xfrm>
          <a:off x="0" y="0"/>
          <a:ext cx="0" cy="0"/>
        </a:xfrm>
        <a:prstGeom prst="rect"/>
      </xdr:spPr>
    </xdr:pic>
    <xdr:clientData fLocksWithSheet="false" fPrintsWithSheet="true"/>
  </xdr:twoCellAnchor>
  <xdr:twoCellAnchor>
    <xdr:from>
      <xdr:col>10</xdr:col>
      <xdr:colOff>38100</xdr:colOff>
      <xdr:row>104</xdr:row>
      <xdr:rowOff>38100</xdr:rowOff>
    </xdr:from>
    <xdr:to>
      <xdr:col>11</xdr:col>
      <xdr:colOff>-38100</xdr:colOff>
      <xdr:row>105</xdr:row>
      <xdr:rowOff>-38100</xdr:rowOff>
    </xdr:to>
    <xdr:pic>
      <xdr:nvPicPr>
        <xdr:cNvPr id="66" name="Picture 66" descr="zMhFRc"/>
        <xdr:cNvPicPr>
          <a:picLocks noChangeAspect="false"/>
        </xdr:cNvPicPr>
      </xdr:nvPicPr>
      <xdr:blipFill>
        <a:blip xmlns:r="http://schemas.openxmlformats.org/officeDocument/2006/relationships" r:embed="rId65"/>
        <a:stretch>
          <a:fillRect/>
        </a:stretch>
      </xdr:blipFill>
      <xdr:spPr>
        <a:xfrm>
          <a:off x="0" y="0"/>
          <a:ext cx="0" cy="0"/>
        </a:xfrm>
        <a:prstGeom prst="rect"/>
      </xdr:spPr>
    </xdr:pic>
    <xdr:clientData fLocksWithSheet="false" fPrintsWithSheet="true"/>
  </xdr:twoCellAnchor>
  <xdr:twoCellAnchor>
    <xdr:from>
      <xdr:col>40</xdr:col>
      <xdr:colOff>38100</xdr:colOff>
      <xdr:row>56</xdr:row>
      <xdr:rowOff>38100</xdr:rowOff>
    </xdr:from>
    <xdr:to>
      <xdr:col>41</xdr:col>
      <xdr:colOff>-38100</xdr:colOff>
      <xdr:row>57</xdr:row>
      <xdr:rowOff>-38100</xdr:rowOff>
    </xdr:to>
    <xdr:pic>
      <xdr:nvPicPr>
        <xdr:cNvPr id="67" name="Picture 67" descr="kjYdUc"/>
        <xdr:cNvPicPr>
          <a:picLocks noChangeAspect="false"/>
        </xdr:cNvPicPr>
      </xdr:nvPicPr>
      <xdr:blipFill>
        <a:blip xmlns:r="http://schemas.openxmlformats.org/officeDocument/2006/relationships" r:embed="rId66"/>
        <a:stretch>
          <a:fillRect/>
        </a:stretch>
      </xdr:blipFill>
      <xdr:spPr>
        <a:xfrm>
          <a:off x="0" y="0"/>
          <a:ext cx="0" cy="0"/>
        </a:xfrm>
        <a:prstGeom prst="rect"/>
      </xdr:spPr>
    </xdr:pic>
    <xdr:clientData fLocksWithSheet="false" fPrintsWithSheet="true"/>
  </xdr:twoCellAnchor>
  <xdr:twoCellAnchor>
    <xdr:from>
      <xdr:col>20</xdr:col>
      <xdr:colOff>38100</xdr:colOff>
      <xdr:row>56</xdr:row>
      <xdr:rowOff>38100</xdr:rowOff>
    </xdr:from>
    <xdr:to>
      <xdr:col>21</xdr:col>
      <xdr:colOff>-38100</xdr:colOff>
      <xdr:row>57</xdr:row>
      <xdr:rowOff>-38100</xdr:rowOff>
    </xdr:to>
    <xdr:pic>
      <xdr:nvPicPr>
        <xdr:cNvPr id="68" name="Picture 68" descr="Hmfzcd"/>
        <xdr:cNvPicPr>
          <a:picLocks noChangeAspect="false"/>
        </xdr:cNvPicPr>
      </xdr:nvPicPr>
      <xdr:blipFill>
        <a:blip xmlns:r="http://schemas.openxmlformats.org/officeDocument/2006/relationships" r:embed="rId67"/>
        <a:stretch>
          <a:fillRect/>
        </a:stretch>
      </xdr:blipFill>
      <xdr:spPr>
        <a:xfrm>
          <a:off x="0" y="0"/>
          <a:ext cx="0" cy="0"/>
        </a:xfrm>
        <a:prstGeom prst="rect"/>
      </xdr:spPr>
    </xdr:pic>
    <xdr:clientData fLocksWithSheet="false" fPrintsWithSheet="true"/>
  </xdr:twoCellAnchor>
  <xdr:twoCellAnchor>
    <xdr:from>
      <xdr:col>30</xdr:col>
      <xdr:colOff>38100</xdr:colOff>
      <xdr:row>56</xdr:row>
      <xdr:rowOff>38100</xdr:rowOff>
    </xdr:from>
    <xdr:to>
      <xdr:col>31</xdr:col>
      <xdr:colOff>-38100</xdr:colOff>
      <xdr:row>57</xdr:row>
      <xdr:rowOff>-38100</xdr:rowOff>
    </xdr:to>
    <xdr:pic>
      <xdr:nvPicPr>
        <xdr:cNvPr id="69" name="Picture 69" descr="rvrJoP"/>
        <xdr:cNvPicPr>
          <a:picLocks noChangeAspect="false"/>
        </xdr:cNvPicPr>
      </xdr:nvPicPr>
      <xdr:blipFill>
        <a:blip xmlns:r="http://schemas.openxmlformats.org/officeDocument/2006/relationships" r:embed="rId68"/>
        <a:stretch>
          <a:fillRect/>
        </a:stretch>
      </xdr:blipFill>
      <xdr:spPr>
        <a:xfrm>
          <a:off x="0" y="0"/>
          <a:ext cx="0" cy="0"/>
        </a:xfrm>
        <a:prstGeom prst="rect"/>
      </xdr:spPr>
    </xdr:pic>
    <xdr:clientData fLocksWithSheet="false" fPrintsWithSheet="true"/>
  </xdr:twoCellAnchor>
  <xdr:twoCellAnchor>
    <xdr:from>
      <xdr:col>50</xdr:col>
      <xdr:colOff>38100</xdr:colOff>
      <xdr:row>56</xdr:row>
      <xdr:rowOff>38100</xdr:rowOff>
    </xdr:from>
    <xdr:to>
      <xdr:col>51</xdr:col>
      <xdr:colOff>-38100</xdr:colOff>
      <xdr:row>57</xdr:row>
      <xdr:rowOff>-38100</xdr:rowOff>
    </xdr:to>
    <xdr:pic>
      <xdr:nvPicPr>
        <xdr:cNvPr id="70" name="Picture 70" descr="sgOMDX"/>
        <xdr:cNvPicPr>
          <a:picLocks noChangeAspect="false"/>
        </xdr:cNvPicPr>
      </xdr:nvPicPr>
      <xdr:blipFill>
        <a:blip xmlns:r="http://schemas.openxmlformats.org/officeDocument/2006/relationships" r:embed="rId69"/>
        <a:stretch>
          <a:fillRect/>
        </a:stretch>
      </xdr:blipFill>
      <xdr:spPr>
        <a:xfrm>
          <a:off x="0" y="0"/>
          <a:ext cx="0" cy="0"/>
        </a:xfrm>
        <a:prstGeom prst="rect"/>
      </xdr:spPr>
    </xdr:pic>
    <xdr:clientData fLocksWithSheet="false" fPrintsWithSheet="true"/>
  </xdr:twoCellAnchor>
  <xdr:twoCellAnchor>
    <xdr:from>
      <xdr:col>0</xdr:col>
      <xdr:colOff>38100</xdr:colOff>
      <xdr:row>56</xdr:row>
      <xdr:rowOff>38100</xdr:rowOff>
    </xdr:from>
    <xdr:to>
      <xdr:col>1</xdr:col>
      <xdr:colOff>-38100</xdr:colOff>
      <xdr:row>57</xdr:row>
      <xdr:rowOff>-38100</xdr:rowOff>
    </xdr:to>
    <xdr:pic>
      <xdr:nvPicPr>
        <xdr:cNvPr id="71" name="Picture 71" descr="bRjypk"/>
        <xdr:cNvPicPr>
          <a:picLocks noChangeAspect="false"/>
        </xdr:cNvPicPr>
      </xdr:nvPicPr>
      <xdr:blipFill>
        <a:blip xmlns:r="http://schemas.openxmlformats.org/officeDocument/2006/relationships" r:embed="rId70"/>
        <a:stretch>
          <a:fillRect/>
        </a:stretch>
      </xdr:blipFill>
      <xdr:spPr>
        <a:xfrm>
          <a:off x="0" y="0"/>
          <a:ext cx="0" cy="0"/>
        </a:xfrm>
        <a:prstGeom prst="rect"/>
      </xdr:spPr>
    </xdr:pic>
    <xdr:clientData fLocksWithSheet="false" fPrintsWithSheet="true"/>
  </xdr:twoCellAnchor>
  <xdr:twoCellAnchor>
    <xdr:from>
      <xdr:col>10</xdr:col>
      <xdr:colOff>38100</xdr:colOff>
      <xdr:row>56</xdr:row>
      <xdr:rowOff>38100</xdr:rowOff>
    </xdr:from>
    <xdr:to>
      <xdr:col>11</xdr:col>
      <xdr:colOff>-38100</xdr:colOff>
      <xdr:row>57</xdr:row>
      <xdr:rowOff>-38100</xdr:rowOff>
    </xdr:to>
    <xdr:pic>
      <xdr:nvPicPr>
        <xdr:cNvPr id="72" name="Picture 72" descr="HVvLVn"/>
        <xdr:cNvPicPr>
          <a:picLocks noChangeAspect="false"/>
        </xdr:cNvPicPr>
      </xdr:nvPicPr>
      <xdr:blipFill>
        <a:blip xmlns:r="http://schemas.openxmlformats.org/officeDocument/2006/relationships" r:embed="rId71"/>
        <a:stretch>
          <a:fillRect/>
        </a:stretch>
      </xdr:blipFill>
      <xdr:spPr>
        <a:xfrm>
          <a:off x="0" y="0"/>
          <a:ext cx="0" cy="0"/>
        </a:xfrm>
        <a:prstGeom prst="rect"/>
      </xdr:spPr>
    </xdr:pic>
    <xdr:clientData fLocksWithSheet="false" fPrintsWithSheet="true"/>
  </xdr:twoCellAnchor>
  <xdr:twoCellAnchor>
    <xdr:from>
      <xdr:col>30</xdr:col>
      <xdr:colOff>38100</xdr:colOff>
      <xdr:row>2</xdr:row>
      <xdr:rowOff>38100</xdr:rowOff>
    </xdr:from>
    <xdr:to>
      <xdr:col>31</xdr:col>
      <xdr:colOff>-38100</xdr:colOff>
      <xdr:row>3</xdr:row>
      <xdr:rowOff>-38100</xdr:rowOff>
    </xdr:to>
    <xdr:pic>
      <xdr:nvPicPr>
        <xdr:cNvPr id="73" name="Picture 73" descr="klaEIW"/>
        <xdr:cNvPicPr>
          <a:picLocks noChangeAspect="false"/>
        </xdr:cNvPicPr>
      </xdr:nvPicPr>
      <xdr:blipFill>
        <a:blip xmlns:r="http://schemas.openxmlformats.org/officeDocument/2006/relationships" r:embed="rId72"/>
        <a:stretch>
          <a:fillRect/>
        </a:stretch>
      </xdr:blipFill>
      <xdr:spPr>
        <a:xfrm>
          <a:off x="0" y="0"/>
          <a:ext cx="0" cy="0"/>
        </a:xfrm>
        <a:prstGeom prst="rect"/>
      </xdr:spPr>
    </xdr:pic>
    <xdr:clientData fLocksWithSheet="false" fPrintsWithSheet="true"/>
  </xdr:twoCellAnchor>
  <xdr:twoCellAnchor>
    <xdr:from>
      <xdr:col>40</xdr:col>
      <xdr:colOff>38100</xdr:colOff>
      <xdr:row>2</xdr:row>
      <xdr:rowOff>38100</xdr:rowOff>
    </xdr:from>
    <xdr:to>
      <xdr:col>41</xdr:col>
      <xdr:colOff>-38100</xdr:colOff>
      <xdr:row>3</xdr:row>
      <xdr:rowOff>-38100</xdr:rowOff>
    </xdr:to>
    <xdr:pic>
      <xdr:nvPicPr>
        <xdr:cNvPr id="74" name="Picture 74" descr="vFhUgI"/>
        <xdr:cNvPicPr>
          <a:picLocks noChangeAspect="false"/>
        </xdr:cNvPicPr>
      </xdr:nvPicPr>
      <xdr:blipFill>
        <a:blip xmlns:r="http://schemas.openxmlformats.org/officeDocument/2006/relationships" r:embed="rId73"/>
        <a:stretch>
          <a:fillRect/>
        </a:stretch>
      </xdr:blipFill>
      <xdr:spPr>
        <a:xfrm>
          <a:off x="0" y="0"/>
          <a:ext cx="0" cy="0"/>
        </a:xfrm>
        <a:prstGeom prst="rect"/>
      </xdr:spPr>
    </xdr:pic>
    <xdr:clientData fLocksWithSheet="false" fPrintsWithSheet="true"/>
  </xdr:twoCellAnchor>
  <xdr:twoCellAnchor>
    <xdr:from>
      <xdr:col>50</xdr:col>
      <xdr:colOff>38100</xdr:colOff>
      <xdr:row>2</xdr:row>
      <xdr:rowOff>38100</xdr:rowOff>
    </xdr:from>
    <xdr:to>
      <xdr:col>51</xdr:col>
      <xdr:colOff>-38100</xdr:colOff>
      <xdr:row>3</xdr:row>
      <xdr:rowOff>-38100</xdr:rowOff>
    </xdr:to>
    <xdr:pic>
      <xdr:nvPicPr>
        <xdr:cNvPr id="75" name="Picture 75" descr="nNtSSu"/>
        <xdr:cNvPicPr>
          <a:picLocks noChangeAspect="false"/>
        </xdr:cNvPicPr>
      </xdr:nvPicPr>
      <xdr:blipFill>
        <a:blip xmlns:r="http://schemas.openxmlformats.org/officeDocument/2006/relationships" r:embed="rId74"/>
        <a:stretch>
          <a:fillRect/>
        </a:stretch>
      </xdr:blipFill>
      <xdr:spPr>
        <a:xfrm>
          <a:off x="0" y="0"/>
          <a:ext cx="0" cy="0"/>
        </a:xfrm>
        <a:prstGeom prst="rect"/>
      </xdr:spPr>
    </xdr:pic>
    <xdr:clientData fLocksWithSheet="false" fPrintsWithSheet="true"/>
  </xdr:twoCellAnchor>
  <xdr:twoCellAnchor>
    <xdr:from>
      <xdr:col>10</xdr:col>
      <xdr:colOff>38100</xdr:colOff>
      <xdr:row>2</xdr:row>
      <xdr:rowOff>38100</xdr:rowOff>
    </xdr:from>
    <xdr:to>
      <xdr:col>11</xdr:col>
      <xdr:colOff>-38100</xdr:colOff>
      <xdr:row>3</xdr:row>
      <xdr:rowOff>-38100</xdr:rowOff>
    </xdr:to>
    <xdr:pic>
      <xdr:nvPicPr>
        <xdr:cNvPr id="76" name="Picture 76" descr="kaOsrx"/>
        <xdr:cNvPicPr>
          <a:picLocks noChangeAspect="false"/>
        </xdr:cNvPicPr>
      </xdr:nvPicPr>
      <xdr:blipFill>
        <a:blip xmlns:r="http://schemas.openxmlformats.org/officeDocument/2006/relationships" r:embed="rId75"/>
        <a:stretch>
          <a:fillRect/>
        </a:stretch>
      </xdr:blipFill>
      <xdr:spPr>
        <a:xfrm>
          <a:off x="0" y="0"/>
          <a:ext cx="0" cy="0"/>
        </a:xfrm>
        <a:prstGeom prst="rect"/>
      </xdr:spPr>
    </xdr:pic>
    <xdr:clientData fLocksWithSheet="false" fPrintsWithSheet="true"/>
  </xdr:twoCellAnchor>
  <xdr:twoCellAnchor>
    <xdr:from>
      <xdr:col>0</xdr:col>
      <xdr:colOff>38100</xdr:colOff>
      <xdr:row>2</xdr:row>
      <xdr:rowOff>38100</xdr:rowOff>
    </xdr:from>
    <xdr:to>
      <xdr:col>1</xdr:col>
      <xdr:colOff>-38100</xdr:colOff>
      <xdr:row>3</xdr:row>
      <xdr:rowOff>-38100</xdr:rowOff>
    </xdr:to>
    <xdr:pic>
      <xdr:nvPicPr>
        <xdr:cNvPr id="77" name="Picture 77" descr="CPOYOi"/>
        <xdr:cNvPicPr>
          <a:picLocks noChangeAspect="false"/>
        </xdr:cNvPicPr>
      </xdr:nvPicPr>
      <xdr:blipFill>
        <a:blip xmlns:r="http://schemas.openxmlformats.org/officeDocument/2006/relationships" r:embed="rId76"/>
        <a:stretch>
          <a:fillRect/>
        </a:stretch>
      </xdr:blipFill>
      <xdr:spPr>
        <a:xfrm>
          <a:off x="0" y="0"/>
          <a:ext cx="0" cy="0"/>
        </a:xfrm>
        <a:prstGeom prst="rect"/>
      </xdr:spPr>
    </xdr:pic>
    <xdr:clientData fLocksWithSheet="false" fPrintsWithSheet="true"/>
  </xdr:twoCellAnchor>
  <xdr:twoCellAnchor>
    <xdr:from>
      <xdr:col>20</xdr:col>
      <xdr:colOff>38100</xdr:colOff>
      <xdr:row>2</xdr:row>
      <xdr:rowOff>38100</xdr:rowOff>
    </xdr:from>
    <xdr:to>
      <xdr:col>21</xdr:col>
      <xdr:colOff>-38100</xdr:colOff>
      <xdr:row>3</xdr:row>
      <xdr:rowOff>-38100</xdr:rowOff>
    </xdr:to>
    <xdr:pic>
      <xdr:nvPicPr>
        <xdr:cNvPr id="78" name="Picture 78" descr="TXHosH"/>
        <xdr:cNvPicPr>
          <a:picLocks noChangeAspect="false"/>
        </xdr:cNvPicPr>
      </xdr:nvPicPr>
      <xdr:blipFill>
        <a:blip xmlns:r="http://schemas.openxmlformats.org/officeDocument/2006/relationships" r:embed="rId77"/>
        <a:stretch>
          <a:fillRect/>
        </a:stretch>
      </xdr:blipFill>
      <xdr:spPr>
        <a:xfrm>
          <a:off x="0" y="0"/>
          <a:ext cx="0" cy="0"/>
        </a:xfrm>
        <a:prstGeom prst="rect"/>
      </xdr:spPr>
    </xdr:pic>
    <xdr:clientData fLocksWithSheet="false" fPrintsWithSheet="true"/>
  </xdr:twoCellAnchor>
  <xdr:twoCellAnchor>
    <xdr:from>
      <xdr:col>10</xdr:col>
      <xdr:colOff>38100</xdr:colOff>
      <xdr:row>80</xdr:row>
      <xdr:rowOff>38100</xdr:rowOff>
    </xdr:from>
    <xdr:to>
      <xdr:col>11</xdr:col>
      <xdr:colOff>-38100</xdr:colOff>
      <xdr:row>81</xdr:row>
      <xdr:rowOff>-38100</xdr:rowOff>
    </xdr:to>
    <xdr:pic>
      <xdr:nvPicPr>
        <xdr:cNvPr id="79" name="Picture 79" descr="IXSYcW"/>
        <xdr:cNvPicPr>
          <a:picLocks noChangeAspect="false"/>
        </xdr:cNvPicPr>
      </xdr:nvPicPr>
      <xdr:blipFill>
        <a:blip xmlns:r="http://schemas.openxmlformats.org/officeDocument/2006/relationships" r:embed="rId78"/>
        <a:stretch>
          <a:fillRect/>
        </a:stretch>
      </xdr:blipFill>
      <xdr:spPr>
        <a:xfrm>
          <a:off x="0" y="0"/>
          <a:ext cx="0" cy="0"/>
        </a:xfrm>
        <a:prstGeom prst="rect"/>
      </xdr:spPr>
    </xdr:pic>
    <xdr:clientData fLocksWithSheet="false" fPrintsWithSheet="true"/>
  </xdr:twoCellAnchor>
  <xdr:twoCellAnchor>
    <xdr:from>
      <xdr:col>40</xdr:col>
      <xdr:colOff>38100</xdr:colOff>
      <xdr:row>80</xdr:row>
      <xdr:rowOff>38100</xdr:rowOff>
    </xdr:from>
    <xdr:to>
      <xdr:col>41</xdr:col>
      <xdr:colOff>-38100</xdr:colOff>
      <xdr:row>81</xdr:row>
      <xdr:rowOff>-38100</xdr:rowOff>
    </xdr:to>
    <xdr:pic>
      <xdr:nvPicPr>
        <xdr:cNvPr id="80" name="Picture 80" descr="zHadRS"/>
        <xdr:cNvPicPr>
          <a:picLocks noChangeAspect="false"/>
        </xdr:cNvPicPr>
      </xdr:nvPicPr>
      <xdr:blipFill>
        <a:blip xmlns:r="http://schemas.openxmlformats.org/officeDocument/2006/relationships" r:embed="rId79"/>
        <a:stretch>
          <a:fillRect/>
        </a:stretch>
      </xdr:blipFill>
      <xdr:spPr>
        <a:xfrm>
          <a:off x="0" y="0"/>
          <a:ext cx="0" cy="0"/>
        </a:xfrm>
        <a:prstGeom prst="rect"/>
      </xdr:spPr>
    </xdr:pic>
    <xdr:clientData fLocksWithSheet="false" fPrintsWithSheet="true"/>
  </xdr:twoCellAnchor>
  <xdr:twoCellAnchor>
    <xdr:from>
      <xdr:col>20</xdr:col>
      <xdr:colOff>38100</xdr:colOff>
      <xdr:row>80</xdr:row>
      <xdr:rowOff>38100</xdr:rowOff>
    </xdr:from>
    <xdr:to>
      <xdr:col>21</xdr:col>
      <xdr:colOff>-38100</xdr:colOff>
      <xdr:row>81</xdr:row>
      <xdr:rowOff>-38100</xdr:rowOff>
    </xdr:to>
    <xdr:pic>
      <xdr:nvPicPr>
        <xdr:cNvPr id="81" name="Picture 81" descr="MGKXGU"/>
        <xdr:cNvPicPr>
          <a:picLocks noChangeAspect="false"/>
        </xdr:cNvPicPr>
      </xdr:nvPicPr>
      <xdr:blipFill>
        <a:blip xmlns:r="http://schemas.openxmlformats.org/officeDocument/2006/relationships" r:embed="rId80"/>
        <a:stretch>
          <a:fillRect/>
        </a:stretch>
      </xdr:blipFill>
      <xdr:spPr>
        <a:xfrm>
          <a:off x="0" y="0"/>
          <a:ext cx="0" cy="0"/>
        </a:xfrm>
        <a:prstGeom prst="rect"/>
      </xdr:spPr>
    </xdr:pic>
    <xdr:clientData fLocksWithSheet="false" fPrintsWithSheet="true"/>
  </xdr:twoCellAnchor>
  <xdr:twoCellAnchor>
    <xdr:from>
      <xdr:col>30</xdr:col>
      <xdr:colOff>38100</xdr:colOff>
      <xdr:row>80</xdr:row>
      <xdr:rowOff>38100</xdr:rowOff>
    </xdr:from>
    <xdr:to>
      <xdr:col>31</xdr:col>
      <xdr:colOff>-38100</xdr:colOff>
      <xdr:row>81</xdr:row>
      <xdr:rowOff>-38100</xdr:rowOff>
    </xdr:to>
    <xdr:pic>
      <xdr:nvPicPr>
        <xdr:cNvPr id="82" name="Picture 82" descr="SGAEJq"/>
        <xdr:cNvPicPr>
          <a:picLocks noChangeAspect="false"/>
        </xdr:cNvPicPr>
      </xdr:nvPicPr>
      <xdr:blipFill>
        <a:blip xmlns:r="http://schemas.openxmlformats.org/officeDocument/2006/relationships" r:embed="rId81"/>
        <a:stretch>
          <a:fillRect/>
        </a:stretch>
      </xdr:blipFill>
      <xdr:spPr>
        <a:xfrm>
          <a:off x="0" y="0"/>
          <a:ext cx="0" cy="0"/>
        </a:xfrm>
        <a:prstGeom prst="rect"/>
      </xdr:spPr>
    </xdr:pic>
    <xdr:clientData fLocksWithSheet="false" fPrintsWithSheet="true"/>
  </xdr:twoCellAnchor>
  <xdr:twoCellAnchor>
    <xdr:from>
      <xdr:col>50</xdr:col>
      <xdr:colOff>38100</xdr:colOff>
      <xdr:row>80</xdr:row>
      <xdr:rowOff>38100</xdr:rowOff>
    </xdr:from>
    <xdr:to>
      <xdr:col>51</xdr:col>
      <xdr:colOff>-38100</xdr:colOff>
      <xdr:row>81</xdr:row>
      <xdr:rowOff>-38100</xdr:rowOff>
    </xdr:to>
    <xdr:pic>
      <xdr:nvPicPr>
        <xdr:cNvPr id="83" name="Picture 83" descr="Hrajxj"/>
        <xdr:cNvPicPr>
          <a:picLocks noChangeAspect="false"/>
        </xdr:cNvPicPr>
      </xdr:nvPicPr>
      <xdr:blipFill>
        <a:blip xmlns:r="http://schemas.openxmlformats.org/officeDocument/2006/relationships" r:embed="rId82"/>
        <a:stretch>
          <a:fillRect/>
        </a:stretch>
      </xdr:blipFill>
      <xdr:spPr>
        <a:xfrm>
          <a:off x="0" y="0"/>
          <a:ext cx="0" cy="0"/>
        </a:xfrm>
        <a:prstGeom prst="rect"/>
      </xdr:spPr>
    </xdr:pic>
    <xdr:clientData fLocksWithSheet="false" fPrintsWithSheet="true"/>
  </xdr:twoCellAnchor>
  <xdr:twoCellAnchor>
    <xdr:from>
      <xdr:col>0</xdr:col>
      <xdr:colOff>38100</xdr:colOff>
      <xdr:row>80</xdr:row>
      <xdr:rowOff>38100</xdr:rowOff>
    </xdr:from>
    <xdr:to>
      <xdr:col>1</xdr:col>
      <xdr:colOff>-38100</xdr:colOff>
      <xdr:row>81</xdr:row>
      <xdr:rowOff>-38100</xdr:rowOff>
    </xdr:to>
    <xdr:pic>
      <xdr:nvPicPr>
        <xdr:cNvPr id="84" name="Picture 84" descr="SikMvq"/>
        <xdr:cNvPicPr>
          <a:picLocks noChangeAspect="false"/>
        </xdr:cNvPicPr>
      </xdr:nvPicPr>
      <xdr:blipFill>
        <a:blip xmlns:r="http://schemas.openxmlformats.org/officeDocument/2006/relationships" r:embed="rId83"/>
        <a:stretch>
          <a:fillRect/>
        </a:stretch>
      </xdr:blipFill>
      <xdr:spPr>
        <a:xfrm>
          <a:off x="0" y="0"/>
          <a:ext cx="0" cy="0"/>
        </a:xfrm>
        <a:prstGeom prst="rect"/>
      </xdr:spPr>
    </xdr:pic>
    <xdr:clientData fLocksWithSheet="false" fPrintsWithSheet="true"/>
  </xdr:twoCellAnchor>
  <xdr:twoCellAnchor>
    <xdr:from>
      <xdr:col>20</xdr:col>
      <xdr:colOff>38100</xdr:colOff>
      <xdr:row>128</xdr:row>
      <xdr:rowOff>38100</xdr:rowOff>
    </xdr:from>
    <xdr:to>
      <xdr:col>21</xdr:col>
      <xdr:colOff>-38100</xdr:colOff>
      <xdr:row>129</xdr:row>
      <xdr:rowOff>-38100</xdr:rowOff>
    </xdr:to>
    <xdr:pic>
      <xdr:nvPicPr>
        <xdr:cNvPr id="85" name="Picture 85" descr="vXvqAz"/>
        <xdr:cNvPicPr>
          <a:picLocks noChangeAspect="false"/>
        </xdr:cNvPicPr>
      </xdr:nvPicPr>
      <xdr:blipFill>
        <a:blip xmlns:r="http://schemas.openxmlformats.org/officeDocument/2006/relationships" r:embed="rId84"/>
        <a:stretch>
          <a:fillRect/>
        </a:stretch>
      </xdr:blipFill>
      <xdr:spPr>
        <a:xfrm>
          <a:off x="0" y="0"/>
          <a:ext cx="0" cy="0"/>
        </a:xfrm>
        <a:prstGeom prst="rect"/>
      </xdr:spPr>
    </xdr:pic>
    <xdr:clientData fLocksWithSheet="false" fPrintsWithSheet="true"/>
  </xdr:twoCellAnchor>
  <xdr:twoCellAnchor>
    <xdr:from>
      <xdr:col>10</xdr:col>
      <xdr:colOff>38100</xdr:colOff>
      <xdr:row>122</xdr:row>
      <xdr:rowOff>38100</xdr:rowOff>
    </xdr:from>
    <xdr:to>
      <xdr:col>11</xdr:col>
      <xdr:colOff>-38100</xdr:colOff>
      <xdr:row>123</xdr:row>
      <xdr:rowOff>-38100</xdr:rowOff>
    </xdr:to>
    <xdr:pic>
      <xdr:nvPicPr>
        <xdr:cNvPr id="86" name="Picture 86" descr="scVJVY"/>
        <xdr:cNvPicPr>
          <a:picLocks noChangeAspect="false"/>
        </xdr:cNvPicPr>
      </xdr:nvPicPr>
      <xdr:blipFill>
        <a:blip xmlns:r="http://schemas.openxmlformats.org/officeDocument/2006/relationships" r:embed="rId85"/>
        <a:stretch>
          <a:fillRect/>
        </a:stretch>
      </xdr:blipFill>
      <xdr:spPr>
        <a:xfrm>
          <a:off x="0" y="0"/>
          <a:ext cx="0" cy="0"/>
        </a:xfrm>
        <a:prstGeom prst="rect"/>
      </xdr:spPr>
    </xdr:pic>
    <xdr:clientData fLocksWithSheet="false" fPrintsWithSheet="true"/>
  </xdr:twoCellAnchor>
  <xdr:twoCellAnchor>
    <xdr:from>
      <xdr:col>20</xdr:col>
      <xdr:colOff>38100</xdr:colOff>
      <xdr:row>122</xdr:row>
      <xdr:rowOff>38100</xdr:rowOff>
    </xdr:from>
    <xdr:to>
      <xdr:col>21</xdr:col>
      <xdr:colOff>-38100</xdr:colOff>
      <xdr:row>123</xdr:row>
      <xdr:rowOff>-38100</xdr:rowOff>
    </xdr:to>
    <xdr:pic>
      <xdr:nvPicPr>
        <xdr:cNvPr id="87" name="Picture 87" descr="TNyVzT"/>
        <xdr:cNvPicPr>
          <a:picLocks noChangeAspect="false"/>
        </xdr:cNvPicPr>
      </xdr:nvPicPr>
      <xdr:blipFill>
        <a:blip xmlns:r="http://schemas.openxmlformats.org/officeDocument/2006/relationships" r:embed="rId86"/>
        <a:stretch>
          <a:fillRect/>
        </a:stretch>
      </xdr:blipFill>
      <xdr:spPr>
        <a:xfrm>
          <a:off x="0" y="0"/>
          <a:ext cx="0" cy="0"/>
        </a:xfrm>
        <a:prstGeom prst="rect"/>
      </xdr:spPr>
    </xdr:pic>
    <xdr:clientData fLocksWithSheet="false" fPrintsWithSheet="true"/>
  </xdr:twoCellAnchor>
  <xdr:twoCellAnchor>
    <xdr:from>
      <xdr:col>20</xdr:col>
      <xdr:colOff>38100</xdr:colOff>
      <xdr:row>32</xdr:row>
      <xdr:rowOff>38100</xdr:rowOff>
    </xdr:from>
    <xdr:to>
      <xdr:col>21</xdr:col>
      <xdr:colOff>-38100</xdr:colOff>
      <xdr:row>33</xdr:row>
      <xdr:rowOff>-38100</xdr:rowOff>
    </xdr:to>
    <xdr:pic>
      <xdr:nvPicPr>
        <xdr:cNvPr id="88" name="Picture 88" descr="kdSkyz"/>
        <xdr:cNvPicPr>
          <a:picLocks noChangeAspect="false"/>
        </xdr:cNvPicPr>
      </xdr:nvPicPr>
      <xdr:blipFill>
        <a:blip xmlns:r="http://schemas.openxmlformats.org/officeDocument/2006/relationships" r:embed="rId87"/>
        <a:stretch>
          <a:fillRect/>
        </a:stretch>
      </xdr:blipFill>
      <xdr:spPr>
        <a:xfrm>
          <a:off x="0" y="0"/>
          <a:ext cx="0" cy="0"/>
        </a:xfrm>
        <a:prstGeom prst="rect"/>
      </xdr:spPr>
    </xdr:pic>
    <xdr:clientData fLocksWithSheet="false" fPrintsWithSheet="true"/>
  </xdr:twoCellAnchor>
  <xdr:twoCellAnchor>
    <xdr:from>
      <xdr:col>0</xdr:col>
      <xdr:colOff>38100</xdr:colOff>
      <xdr:row>32</xdr:row>
      <xdr:rowOff>38100</xdr:rowOff>
    </xdr:from>
    <xdr:to>
      <xdr:col>1</xdr:col>
      <xdr:colOff>-38100</xdr:colOff>
      <xdr:row>33</xdr:row>
      <xdr:rowOff>-38100</xdr:rowOff>
    </xdr:to>
    <xdr:pic>
      <xdr:nvPicPr>
        <xdr:cNvPr id="89" name="Picture 89" descr="SrNcSl"/>
        <xdr:cNvPicPr>
          <a:picLocks noChangeAspect="false"/>
        </xdr:cNvPicPr>
      </xdr:nvPicPr>
      <xdr:blipFill>
        <a:blip xmlns:r="http://schemas.openxmlformats.org/officeDocument/2006/relationships" r:embed="rId88"/>
        <a:stretch>
          <a:fillRect/>
        </a:stretch>
      </xdr:blipFill>
      <xdr:spPr>
        <a:xfrm>
          <a:off x="0" y="0"/>
          <a:ext cx="0" cy="0"/>
        </a:xfrm>
        <a:prstGeom prst="rect"/>
      </xdr:spPr>
    </xdr:pic>
    <xdr:clientData fLocksWithSheet="false" fPrintsWithSheet="true"/>
  </xdr:twoCellAnchor>
  <xdr:twoCellAnchor>
    <xdr:from>
      <xdr:col>50</xdr:col>
      <xdr:colOff>38100</xdr:colOff>
      <xdr:row>32</xdr:row>
      <xdr:rowOff>38100</xdr:rowOff>
    </xdr:from>
    <xdr:to>
      <xdr:col>51</xdr:col>
      <xdr:colOff>-38100</xdr:colOff>
      <xdr:row>33</xdr:row>
      <xdr:rowOff>-38100</xdr:rowOff>
    </xdr:to>
    <xdr:pic>
      <xdr:nvPicPr>
        <xdr:cNvPr id="90" name="Picture 90" descr="ihoBmh"/>
        <xdr:cNvPicPr>
          <a:picLocks noChangeAspect="false"/>
        </xdr:cNvPicPr>
      </xdr:nvPicPr>
      <xdr:blipFill>
        <a:blip xmlns:r="http://schemas.openxmlformats.org/officeDocument/2006/relationships" r:embed="rId89"/>
        <a:stretch>
          <a:fillRect/>
        </a:stretch>
      </xdr:blipFill>
      <xdr:spPr>
        <a:xfrm>
          <a:off x="0" y="0"/>
          <a:ext cx="0" cy="0"/>
        </a:xfrm>
        <a:prstGeom prst="rect"/>
      </xdr:spPr>
    </xdr:pic>
    <xdr:clientData fLocksWithSheet="false" fPrintsWithSheet="true"/>
  </xdr:twoCellAnchor>
  <xdr:twoCellAnchor>
    <xdr:from>
      <xdr:col>10</xdr:col>
      <xdr:colOff>38100</xdr:colOff>
      <xdr:row>32</xdr:row>
      <xdr:rowOff>38100</xdr:rowOff>
    </xdr:from>
    <xdr:to>
      <xdr:col>11</xdr:col>
      <xdr:colOff>-38100</xdr:colOff>
      <xdr:row>33</xdr:row>
      <xdr:rowOff>-38100</xdr:rowOff>
    </xdr:to>
    <xdr:pic>
      <xdr:nvPicPr>
        <xdr:cNvPr id="91" name="Picture 91" descr="fqQzCF"/>
        <xdr:cNvPicPr>
          <a:picLocks noChangeAspect="false"/>
        </xdr:cNvPicPr>
      </xdr:nvPicPr>
      <xdr:blipFill>
        <a:blip xmlns:r="http://schemas.openxmlformats.org/officeDocument/2006/relationships" r:embed="rId90"/>
        <a:stretch>
          <a:fillRect/>
        </a:stretch>
      </xdr:blipFill>
      <xdr:spPr>
        <a:xfrm>
          <a:off x="0" y="0"/>
          <a:ext cx="0" cy="0"/>
        </a:xfrm>
        <a:prstGeom prst="rect"/>
      </xdr:spPr>
    </xdr:pic>
    <xdr:clientData fLocksWithSheet="false" fPrintsWithSheet="true"/>
  </xdr:twoCellAnchor>
  <xdr:twoCellAnchor>
    <xdr:from>
      <xdr:col>40</xdr:col>
      <xdr:colOff>38100</xdr:colOff>
      <xdr:row>32</xdr:row>
      <xdr:rowOff>38100</xdr:rowOff>
    </xdr:from>
    <xdr:to>
      <xdr:col>41</xdr:col>
      <xdr:colOff>-38100</xdr:colOff>
      <xdr:row>33</xdr:row>
      <xdr:rowOff>-38100</xdr:rowOff>
    </xdr:to>
    <xdr:pic>
      <xdr:nvPicPr>
        <xdr:cNvPr id="92" name="Picture 92" descr="MAhajH"/>
        <xdr:cNvPicPr>
          <a:picLocks noChangeAspect="false"/>
        </xdr:cNvPicPr>
      </xdr:nvPicPr>
      <xdr:blipFill>
        <a:blip xmlns:r="http://schemas.openxmlformats.org/officeDocument/2006/relationships" r:embed="rId91"/>
        <a:stretch>
          <a:fillRect/>
        </a:stretch>
      </xdr:blipFill>
      <xdr:spPr>
        <a:xfrm>
          <a:off x="0" y="0"/>
          <a:ext cx="0" cy="0"/>
        </a:xfrm>
        <a:prstGeom prst="rect"/>
      </xdr:spPr>
    </xdr:pic>
    <xdr:clientData fLocksWithSheet="false" fPrintsWithSheet="true"/>
  </xdr:twoCellAnchor>
  <xdr:twoCellAnchor>
    <xdr:from>
      <xdr:col>30</xdr:col>
      <xdr:colOff>38100</xdr:colOff>
      <xdr:row>32</xdr:row>
      <xdr:rowOff>38100</xdr:rowOff>
    </xdr:from>
    <xdr:to>
      <xdr:col>31</xdr:col>
      <xdr:colOff>-38100</xdr:colOff>
      <xdr:row>33</xdr:row>
      <xdr:rowOff>-38100</xdr:rowOff>
    </xdr:to>
    <xdr:pic>
      <xdr:nvPicPr>
        <xdr:cNvPr id="93" name="Picture 93" descr="kyZgDz"/>
        <xdr:cNvPicPr>
          <a:picLocks noChangeAspect="false"/>
        </xdr:cNvPicPr>
      </xdr:nvPicPr>
      <xdr:blipFill>
        <a:blip xmlns:r="http://schemas.openxmlformats.org/officeDocument/2006/relationships" r:embed="rId92"/>
        <a:stretch>
          <a:fillRect/>
        </a:stretch>
      </xdr:blipFill>
      <xdr:spPr>
        <a:xfrm>
          <a:off x="0" y="0"/>
          <a:ext cx="0" cy="0"/>
        </a:xfrm>
        <a:prstGeom prst="rect"/>
      </xdr:spPr>
    </xdr:pic>
    <xdr:clientData fLocksWithSheet="false" fPrintsWithSheet="true"/>
  </xdr:twoCellAnchor>
  <xdr:twoCellAnchor>
    <xdr:from>
      <xdr:col>50</xdr:col>
      <xdr:colOff>38100</xdr:colOff>
      <xdr:row>86</xdr:row>
      <xdr:rowOff>38100</xdr:rowOff>
    </xdr:from>
    <xdr:to>
      <xdr:col>51</xdr:col>
      <xdr:colOff>-38100</xdr:colOff>
      <xdr:row>87</xdr:row>
      <xdr:rowOff>-38100</xdr:rowOff>
    </xdr:to>
    <xdr:pic>
      <xdr:nvPicPr>
        <xdr:cNvPr id="94" name="Picture 94" descr="ctfaUt"/>
        <xdr:cNvPicPr>
          <a:picLocks noChangeAspect="false"/>
        </xdr:cNvPicPr>
      </xdr:nvPicPr>
      <xdr:blipFill>
        <a:blip xmlns:r="http://schemas.openxmlformats.org/officeDocument/2006/relationships" r:embed="rId93"/>
        <a:stretch>
          <a:fillRect/>
        </a:stretch>
      </xdr:blipFill>
      <xdr:spPr>
        <a:xfrm>
          <a:off x="0" y="0"/>
          <a:ext cx="0" cy="0"/>
        </a:xfrm>
        <a:prstGeom prst="rect"/>
      </xdr:spPr>
    </xdr:pic>
    <xdr:clientData fLocksWithSheet="false" fPrintsWithSheet="true"/>
  </xdr:twoCellAnchor>
  <xdr:twoCellAnchor>
    <xdr:from>
      <xdr:col>20</xdr:col>
      <xdr:colOff>38100</xdr:colOff>
      <xdr:row>86</xdr:row>
      <xdr:rowOff>38100</xdr:rowOff>
    </xdr:from>
    <xdr:to>
      <xdr:col>21</xdr:col>
      <xdr:colOff>-38100</xdr:colOff>
      <xdr:row>87</xdr:row>
      <xdr:rowOff>-38100</xdr:rowOff>
    </xdr:to>
    <xdr:pic>
      <xdr:nvPicPr>
        <xdr:cNvPr id="95" name="Picture 95" descr="SYbWFh"/>
        <xdr:cNvPicPr>
          <a:picLocks noChangeAspect="false"/>
        </xdr:cNvPicPr>
      </xdr:nvPicPr>
      <xdr:blipFill>
        <a:blip xmlns:r="http://schemas.openxmlformats.org/officeDocument/2006/relationships" r:embed="rId94"/>
        <a:stretch>
          <a:fillRect/>
        </a:stretch>
      </xdr:blipFill>
      <xdr:spPr>
        <a:xfrm>
          <a:off x="0" y="0"/>
          <a:ext cx="0" cy="0"/>
        </a:xfrm>
        <a:prstGeom prst="rect"/>
      </xdr:spPr>
    </xdr:pic>
    <xdr:clientData fLocksWithSheet="false" fPrintsWithSheet="true"/>
  </xdr:twoCellAnchor>
  <xdr:twoCellAnchor>
    <xdr:from>
      <xdr:col>40</xdr:col>
      <xdr:colOff>38100</xdr:colOff>
      <xdr:row>86</xdr:row>
      <xdr:rowOff>38100</xdr:rowOff>
    </xdr:from>
    <xdr:to>
      <xdr:col>41</xdr:col>
      <xdr:colOff>-38100</xdr:colOff>
      <xdr:row>87</xdr:row>
      <xdr:rowOff>-38100</xdr:rowOff>
    </xdr:to>
    <xdr:pic>
      <xdr:nvPicPr>
        <xdr:cNvPr id="96" name="Picture 96" descr="eZduAv"/>
        <xdr:cNvPicPr>
          <a:picLocks noChangeAspect="false"/>
        </xdr:cNvPicPr>
      </xdr:nvPicPr>
      <xdr:blipFill>
        <a:blip xmlns:r="http://schemas.openxmlformats.org/officeDocument/2006/relationships" r:embed="rId95"/>
        <a:stretch>
          <a:fillRect/>
        </a:stretch>
      </xdr:blipFill>
      <xdr:spPr>
        <a:xfrm>
          <a:off x="0" y="0"/>
          <a:ext cx="0" cy="0"/>
        </a:xfrm>
        <a:prstGeom prst="rect"/>
      </xdr:spPr>
    </xdr:pic>
    <xdr:clientData fLocksWithSheet="false" fPrintsWithSheet="true"/>
  </xdr:twoCellAnchor>
  <xdr:twoCellAnchor>
    <xdr:from>
      <xdr:col>0</xdr:col>
      <xdr:colOff>38100</xdr:colOff>
      <xdr:row>86</xdr:row>
      <xdr:rowOff>38100</xdr:rowOff>
    </xdr:from>
    <xdr:to>
      <xdr:col>1</xdr:col>
      <xdr:colOff>-38100</xdr:colOff>
      <xdr:row>87</xdr:row>
      <xdr:rowOff>-38100</xdr:rowOff>
    </xdr:to>
    <xdr:pic>
      <xdr:nvPicPr>
        <xdr:cNvPr id="97" name="Picture 97" descr="zqJqlc"/>
        <xdr:cNvPicPr>
          <a:picLocks noChangeAspect="false"/>
        </xdr:cNvPicPr>
      </xdr:nvPicPr>
      <xdr:blipFill>
        <a:blip xmlns:r="http://schemas.openxmlformats.org/officeDocument/2006/relationships" r:embed="rId96"/>
        <a:stretch>
          <a:fillRect/>
        </a:stretch>
      </xdr:blipFill>
      <xdr:spPr>
        <a:xfrm>
          <a:off x="0" y="0"/>
          <a:ext cx="0" cy="0"/>
        </a:xfrm>
        <a:prstGeom prst="rect"/>
      </xdr:spPr>
    </xdr:pic>
    <xdr:clientData fLocksWithSheet="false" fPrintsWithSheet="true"/>
  </xdr:twoCellAnchor>
  <xdr:twoCellAnchor>
    <xdr:from>
      <xdr:col>10</xdr:col>
      <xdr:colOff>38100</xdr:colOff>
      <xdr:row>86</xdr:row>
      <xdr:rowOff>38100</xdr:rowOff>
    </xdr:from>
    <xdr:to>
      <xdr:col>11</xdr:col>
      <xdr:colOff>-38100</xdr:colOff>
      <xdr:row>87</xdr:row>
      <xdr:rowOff>-38100</xdr:rowOff>
    </xdr:to>
    <xdr:pic>
      <xdr:nvPicPr>
        <xdr:cNvPr id="98" name="Picture 98" descr="QSeLIy"/>
        <xdr:cNvPicPr>
          <a:picLocks noChangeAspect="false"/>
        </xdr:cNvPicPr>
      </xdr:nvPicPr>
      <xdr:blipFill>
        <a:blip xmlns:r="http://schemas.openxmlformats.org/officeDocument/2006/relationships" r:embed="rId97"/>
        <a:stretch>
          <a:fillRect/>
        </a:stretch>
      </xdr:blipFill>
      <xdr:spPr>
        <a:xfrm>
          <a:off x="0" y="0"/>
          <a:ext cx="0" cy="0"/>
        </a:xfrm>
        <a:prstGeom prst="rect"/>
      </xdr:spPr>
    </xdr:pic>
    <xdr:clientData fLocksWithSheet="false" fPrintsWithSheet="true"/>
  </xdr:twoCellAnchor>
  <xdr:twoCellAnchor>
    <xdr:from>
      <xdr:col>30</xdr:col>
      <xdr:colOff>38100</xdr:colOff>
      <xdr:row>14</xdr:row>
      <xdr:rowOff>38100</xdr:rowOff>
    </xdr:from>
    <xdr:to>
      <xdr:col>31</xdr:col>
      <xdr:colOff>-38100</xdr:colOff>
      <xdr:row>15</xdr:row>
      <xdr:rowOff>-38100</xdr:rowOff>
    </xdr:to>
    <xdr:pic>
      <xdr:nvPicPr>
        <xdr:cNvPr id="99" name="Picture 99" descr="eUJFXL"/>
        <xdr:cNvPicPr>
          <a:picLocks noChangeAspect="false"/>
        </xdr:cNvPicPr>
      </xdr:nvPicPr>
      <xdr:blipFill>
        <a:blip xmlns:r="http://schemas.openxmlformats.org/officeDocument/2006/relationships" r:embed="rId98"/>
        <a:stretch>
          <a:fillRect/>
        </a:stretch>
      </xdr:blipFill>
      <xdr:spPr>
        <a:xfrm>
          <a:off x="0" y="0"/>
          <a:ext cx="0" cy="0"/>
        </a:xfrm>
        <a:prstGeom prst="rect"/>
      </xdr:spPr>
    </xdr:pic>
    <xdr:clientData fLocksWithSheet="false" fPrintsWithSheet="true"/>
  </xdr:twoCellAnchor>
  <xdr:twoCellAnchor>
    <xdr:from>
      <xdr:col>50</xdr:col>
      <xdr:colOff>38100</xdr:colOff>
      <xdr:row>14</xdr:row>
      <xdr:rowOff>38100</xdr:rowOff>
    </xdr:from>
    <xdr:to>
      <xdr:col>51</xdr:col>
      <xdr:colOff>-38100</xdr:colOff>
      <xdr:row>15</xdr:row>
      <xdr:rowOff>-38100</xdr:rowOff>
    </xdr:to>
    <xdr:pic>
      <xdr:nvPicPr>
        <xdr:cNvPr id="100" name="Picture 100" descr="ybKXUG"/>
        <xdr:cNvPicPr>
          <a:picLocks noChangeAspect="false"/>
        </xdr:cNvPicPr>
      </xdr:nvPicPr>
      <xdr:blipFill>
        <a:blip xmlns:r="http://schemas.openxmlformats.org/officeDocument/2006/relationships" r:embed="rId99"/>
        <a:stretch>
          <a:fillRect/>
        </a:stretch>
      </xdr:blipFill>
      <xdr:spPr>
        <a:xfrm>
          <a:off x="0" y="0"/>
          <a:ext cx="0" cy="0"/>
        </a:xfrm>
        <a:prstGeom prst="rect"/>
      </xdr:spPr>
    </xdr:pic>
    <xdr:clientData fLocksWithSheet="false" fPrintsWithSheet="true"/>
  </xdr:twoCellAnchor>
  <xdr:twoCellAnchor>
    <xdr:from>
      <xdr:col>0</xdr:col>
      <xdr:colOff>38100</xdr:colOff>
      <xdr:row>14</xdr:row>
      <xdr:rowOff>38100</xdr:rowOff>
    </xdr:from>
    <xdr:to>
      <xdr:col>1</xdr:col>
      <xdr:colOff>-38100</xdr:colOff>
      <xdr:row>15</xdr:row>
      <xdr:rowOff>-38100</xdr:rowOff>
    </xdr:to>
    <xdr:pic>
      <xdr:nvPicPr>
        <xdr:cNvPr id="101" name="Picture 101" descr="YSseIO"/>
        <xdr:cNvPicPr>
          <a:picLocks noChangeAspect="false"/>
        </xdr:cNvPicPr>
      </xdr:nvPicPr>
      <xdr:blipFill>
        <a:blip xmlns:r="http://schemas.openxmlformats.org/officeDocument/2006/relationships" r:embed="rId100"/>
        <a:stretch>
          <a:fillRect/>
        </a:stretch>
      </xdr:blipFill>
      <xdr:spPr>
        <a:xfrm>
          <a:off x="0" y="0"/>
          <a:ext cx="0" cy="0"/>
        </a:xfrm>
        <a:prstGeom prst="rect"/>
      </xdr:spPr>
    </xdr:pic>
    <xdr:clientData fLocksWithSheet="false" fPrintsWithSheet="true"/>
  </xdr:twoCellAnchor>
  <xdr:twoCellAnchor>
    <xdr:from>
      <xdr:col>10</xdr:col>
      <xdr:colOff>38100</xdr:colOff>
      <xdr:row>14</xdr:row>
      <xdr:rowOff>38100</xdr:rowOff>
    </xdr:from>
    <xdr:to>
      <xdr:col>11</xdr:col>
      <xdr:colOff>-38100</xdr:colOff>
      <xdr:row>15</xdr:row>
      <xdr:rowOff>-38100</xdr:rowOff>
    </xdr:to>
    <xdr:pic>
      <xdr:nvPicPr>
        <xdr:cNvPr id="102" name="Picture 102" descr="PUSGvU"/>
        <xdr:cNvPicPr>
          <a:picLocks noChangeAspect="false"/>
        </xdr:cNvPicPr>
      </xdr:nvPicPr>
      <xdr:blipFill>
        <a:blip xmlns:r="http://schemas.openxmlformats.org/officeDocument/2006/relationships" r:embed="rId101"/>
        <a:stretch>
          <a:fillRect/>
        </a:stretch>
      </xdr:blipFill>
      <xdr:spPr>
        <a:xfrm>
          <a:off x="0" y="0"/>
          <a:ext cx="0" cy="0"/>
        </a:xfrm>
        <a:prstGeom prst="rect"/>
      </xdr:spPr>
    </xdr:pic>
    <xdr:clientData fLocksWithSheet="false" fPrintsWithSheet="true"/>
  </xdr:twoCellAnchor>
  <xdr:twoCellAnchor>
    <xdr:from>
      <xdr:col>40</xdr:col>
      <xdr:colOff>38100</xdr:colOff>
      <xdr:row>14</xdr:row>
      <xdr:rowOff>38100</xdr:rowOff>
    </xdr:from>
    <xdr:to>
      <xdr:col>41</xdr:col>
      <xdr:colOff>-38100</xdr:colOff>
      <xdr:row>15</xdr:row>
      <xdr:rowOff>-38100</xdr:rowOff>
    </xdr:to>
    <xdr:pic>
      <xdr:nvPicPr>
        <xdr:cNvPr id="103" name="Picture 103" descr="BmCdvH"/>
        <xdr:cNvPicPr>
          <a:picLocks noChangeAspect="false"/>
        </xdr:cNvPicPr>
      </xdr:nvPicPr>
      <xdr:blipFill>
        <a:blip xmlns:r="http://schemas.openxmlformats.org/officeDocument/2006/relationships" r:embed="rId102"/>
        <a:stretch>
          <a:fillRect/>
        </a:stretch>
      </xdr:blipFill>
      <xdr:spPr>
        <a:xfrm>
          <a:off x="0" y="0"/>
          <a:ext cx="0" cy="0"/>
        </a:xfrm>
        <a:prstGeom prst="rect"/>
      </xdr:spPr>
    </xdr:pic>
    <xdr:clientData fLocksWithSheet="false" fPrintsWithSheet="true"/>
  </xdr:twoCellAnchor>
  <xdr:twoCellAnchor>
    <xdr:from>
      <xdr:col>20</xdr:col>
      <xdr:colOff>38100</xdr:colOff>
      <xdr:row>14</xdr:row>
      <xdr:rowOff>38100</xdr:rowOff>
    </xdr:from>
    <xdr:to>
      <xdr:col>21</xdr:col>
      <xdr:colOff>-38100</xdr:colOff>
      <xdr:row>15</xdr:row>
      <xdr:rowOff>-38100</xdr:rowOff>
    </xdr:to>
    <xdr:pic>
      <xdr:nvPicPr>
        <xdr:cNvPr id="104" name="Picture 104" descr="DGYuXG"/>
        <xdr:cNvPicPr>
          <a:picLocks noChangeAspect="false"/>
        </xdr:cNvPicPr>
      </xdr:nvPicPr>
      <xdr:blipFill>
        <a:blip xmlns:r="http://schemas.openxmlformats.org/officeDocument/2006/relationships" r:embed="rId103"/>
        <a:stretch>
          <a:fillRect/>
        </a:stretch>
      </xdr:blipFill>
      <xdr:spPr>
        <a:xfrm>
          <a:off x="0" y="0"/>
          <a:ext cx="0" cy="0"/>
        </a:xfrm>
        <a:prstGeom prst="rect"/>
      </xdr:spPr>
    </xdr:pic>
    <xdr:clientData fLocksWithSheet="false" fPrintsWithSheet="true"/>
  </xdr:twoCellAnchor>
  <xdr:twoCellAnchor>
    <xdr:from>
      <xdr:col>30</xdr:col>
      <xdr:colOff>38100</xdr:colOff>
      <xdr:row>26</xdr:row>
      <xdr:rowOff>38100</xdr:rowOff>
    </xdr:from>
    <xdr:to>
      <xdr:col>31</xdr:col>
      <xdr:colOff>-38100</xdr:colOff>
      <xdr:row>27</xdr:row>
      <xdr:rowOff>-38100</xdr:rowOff>
    </xdr:to>
    <xdr:pic>
      <xdr:nvPicPr>
        <xdr:cNvPr id="105" name="Picture 105" descr="xlkxUY"/>
        <xdr:cNvPicPr>
          <a:picLocks noChangeAspect="false"/>
        </xdr:cNvPicPr>
      </xdr:nvPicPr>
      <xdr:blipFill>
        <a:blip xmlns:r="http://schemas.openxmlformats.org/officeDocument/2006/relationships" r:embed="rId104"/>
        <a:stretch>
          <a:fillRect/>
        </a:stretch>
      </xdr:blipFill>
      <xdr:spPr>
        <a:xfrm>
          <a:off x="0" y="0"/>
          <a:ext cx="0" cy="0"/>
        </a:xfrm>
        <a:prstGeom prst="rect"/>
      </xdr:spPr>
    </xdr:pic>
    <xdr:clientData fLocksWithSheet="false" fPrintsWithSheet="true"/>
  </xdr:twoCellAnchor>
  <xdr:twoCellAnchor>
    <xdr:from>
      <xdr:col>10</xdr:col>
      <xdr:colOff>38100</xdr:colOff>
      <xdr:row>26</xdr:row>
      <xdr:rowOff>38100</xdr:rowOff>
    </xdr:from>
    <xdr:to>
      <xdr:col>11</xdr:col>
      <xdr:colOff>-38100</xdr:colOff>
      <xdr:row>27</xdr:row>
      <xdr:rowOff>-38100</xdr:rowOff>
    </xdr:to>
    <xdr:pic>
      <xdr:nvPicPr>
        <xdr:cNvPr id="106" name="Picture 106" descr="AzOtMe"/>
        <xdr:cNvPicPr>
          <a:picLocks noChangeAspect="false"/>
        </xdr:cNvPicPr>
      </xdr:nvPicPr>
      <xdr:blipFill>
        <a:blip xmlns:r="http://schemas.openxmlformats.org/officeDocument/2006/relationships" r:embed="rId105"/>
        <a:stretch>
          <a:fillRect/>
        </a:stretch>
      </xdr:blipFill>
      <xdr:spPr>
        <a:xfrm>
          <a:off x="0" y="0"/>
          <a:ext cx="0" cy="0"/>
        </a:xfrm>
        <a:prstGeom prst="rect"/>
      </xdr:spPr>
    </xdr:pic>
    <xdr:clientData fLocksWithSheet="false" fPrintsWithSheet="true"/>
  </xdr:twoCellAnchor>
  <xdr:twoCellAnchor>
    <xdr:from>
      <xdr:col>20</xdr:col>
      <xdr:colOff>38100</xdr:colOff>
      <xdr:row>26</xdr:row>
      <xdr:rowOff>38100</xdr:rowOff>
    </xdr:from>
    <xdr:to>
      <xdr:col>21</xdr:col>
      <xdr:colOff>-38100</xdr:colOff>
      <xdr:row>27</xdr:row>
      <xdr:rowOff>-38100</xdr:rowOff>
    </xdr:to>
    <xdr:pic>
      <xdr:nvPicPr>
        <xdr:cNvPr id="107" name="Picture 107" descr="TkpLyn"/>
        <xdr:cNvPicPr>
          <a:picLocks noChangeAspect="false"/>
        </xdr:cNvPicPr>
      </xdr:nvPicPr>
      <xdr:blipFill>
        <a:blip xmlns:r="http://schemas.openxmlformats.org/officeDocument/2006/relationships" r:embed="rId106"/>
        <a:stretch>
          <a:fillRect/>
        </a:stretch>
      </xdr:blipFill>
      <xdr:spPr>
        <a:xfrm>
          <a:off x="0" y="0"/>
          <a:ext cx="0" cy="0"/>
        </a:xfrm>
        <a:prstGeom prst="rect"/>
      </xdr:spPr>
    </xdr:pic>
    <xdr:clientData fLocksWithSheet="false" fPrintsWithSheet="true"/>
  </xdr:twoCellAnchor>
  <xdr:twoCellAnchor>
    <xdr:from>
      <xdr:col>40</xdr:col>
      <xdr:colOff>38100</xdr:colOff>
      <xdr:row>26</xdr:row>
      <xdr:rowOff>38100</xdr:rowOff>
    </xdr:from>
    <xdr:to>
      <xdr:col>41</xdr:col>
      <xdr:colOff>-38100</xdr:colOff>
      <xdr:row>27</xdr:row>
      <xdr:rowOff>-38100</xdr:rowOff>
    </xdr:to>
    <xdr:pic>
      <xdr:nvPicPr>
        <xdr:cNvPr id="108" name="Picture 108" descr="EwhETv"/>
        <xdr:cNvPicPr>
          <a:picLocks noChangeAspect="false"/>
        </xdr:cNvPicPr>
      </xdr:nvPicPr>
      <xdr:blipFill>
        <a:blip xmlns:r="http://schemas.openxmlformats.org/officeDocument/2006/relationships" r:embed="rId107"/>
        <a:stretch>
          <a:fillRect/>
        </a:stretch>
      </xdr:blipFill>
      <xdr:spPr>
        <a:xfrm>
          <a:off x="0" y="0"/>
          <a:ext cx="0" cy="0"/>
        </a:xfrm>
        <a:prstGeom prst="rect"/>
      </xdr:spPr>
    </xdr:pic>
    <xdr:clientData fLocksWithSheet="false" fPrintsWithSheet="true"/>
  </xdr:twoCellAnchor>
  <xdr:twoCellAnchor>
    <xdr:from>
      <xdr:col>0</xdr:col>
      <xdr:colOff>38100</xdr:colOff>
      <xdr:row>26</xdr:row>
      <xdr:rowOff>38100</xdr:rowOff>
    </xdr:from>
    <xdr:to>
      <xdr:col>1</xdr:col>
      <xdr:colOff>-38100</xdr:colOff>
      <xdr:row>27</xdr:row>
      <xdr:rowOff>-38100</xdr:rowOff>
    </xdr:to>
    <xdr:pic>
      <xdr:nvPicPr>
        <xdr:cNvPr id="109" name="Picture 109" descr="XUAxHV"/>
        <xdr:cNvPicPr>
          <a:picLocks noChangeAspect="false"/>
        </xdr:cNvPicPr>
      </xdr:nvPicPr>
      <xdr:blipFill>
        <a:blip xmlns:r="http://schemas.openxmlformats.org/officeDocument/2006/relationships" r:embed="rId108"/>
        <a:stretch>
          <a:fillRect/>
        </a:stretch>
      </xdr:blipFill>
      <xdr:spPr>
        <a:xfrm>
          <a:off x="0" y="0"/>
          <a:ext cx="0" cy="0"/>
        </a:xfrm>
        <a:prstGeom prst="rect"/>
      </xdr:spPr>
    </xdr:pic>
    <xdr:clientData fLocksWithSheet="false" fPrintsWithSheet="true"/>
  </xdr:twoCellAnchor>
  <xdr:twoCellAnchor>
    <xdr:from>
      <xdr:col>50</xdr:col>
      <xdr:colOff>38100</xdr:colOff>
      <xdr:row>26</xdr:row>
      <xdr:rowOff>38100</xdr:rowOff>
    </xdr:from>
    <xdr:to>
      <xdr:col>51</xdr:col>
      <xdr:colOff>-38100</xdr:colOff>
      <xdr:row>27</xdr:row>
      <xdr:rowOff>-38100</xdr:rowOff>
    </xdr:to>
    <xdr:pic>
      <xdr:nvPicPr>
        <xdr:cNvPr id="110" name="Picture 110" descr="HdGMgq"/>
        <xdr:cNvPicPr>
          <a:picLocks noChangeAspect="false"/>
        </xdr:cNvPicPr>
      </xdr:nvPicPr>
      <xdr:blipFill>
        <a:blip xmlns:r="http://schemas.openxmlformats.org/officeDocument/2006/relationships" r:embed="rId109"/>
        <a:stretch>
          <a:fillRect/>
        </a:stretch>
      </xdr:blipFill>
      <xdr:spPr>
        <a:xfrm>
          <a:off x="0" y="0"/>
          <a:ext cx="0" cy="0"/>
        </a:xfrm>
        <a:prstGeom prst="rect"/>
      </xdr:spPr>
    </xdr:pic>
    <xdr:clientData fLocksWithSheet="false" fPrintsWithSheet="true"/>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arget="../drawings/drawing1.xml" Type="http://schemas.openxmlformats.org/officeDocument/2006/relationships/drawing"></Relationship></Relationships>
</file>

<file path=xl/worksheets/sheet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tabSelected="true" workbookViewId="0"/>
  </sheetViews>
  <sheetFormatPr defaultColWidth="14" defaultRowHeight="19"/>
  <cols>
    <col collapsed="false" customWidth="true" hidden="false" max="1" min="1" style="0" width="9"/>
    <col collapsed="false" customWidth="true" hidden="false" max="2" min="2" style="0" width="9"/>
    <col collapsed="false" customWidth="true" hidden="false" max="3" min="3" style="0" width="9"/>
    <col collapsed="false" customWidth="true" hidden="false" max="4" min="4" style="0" width="9"/>
    <col collapsed="false" customWidth="true" hidden="false" max="5" min="5" style="0" width="9"/>
    <col collapsed="false" customWidth="true" hidden="false" max="6" min="6" style="0" width="9"/>
    <col collapsed="false" customWidth="true" hidden="false" max="7" min="7" style="0" width="9"/>
    <col collapsed="false" customWidth="true" hidden="false" max="8" min="8" style="0" width="9"/>
    <col collapsed="false" customWidth="true" hidden="false" max="9" min="9" style="0" width="9"/>
    <col collapsed="false" customWidth="true" hidden="false" max="10" min="10" style="0" width="9"/>
    <col collapsed="false" customWidth="true" hidden="false" max="11" min="11" style="0" width="9"/>
    <col collapsed="false" customWidth="true" hidden="false" max="12" min="12" style="0" width="9"/>
    <col collapsed="false" customWidth="true" hidden="false" max="13" min="13" style="0" width="9"/>
    <col collapsed="false" customWidth="true" hidden="false" max="14" min="14" style="0" width="9"/>
    <col collapsed="false" customWidth="true" hidden="false" max="15" min="15" style="0" width="9"/>
    <col collapsed="false" customWidth="true" hidden="false" max="16" min="16" style="0" width="9"/>
    <col collapsed="false" customWidth="true" hidden="false" max="17" min="17" style="0" width="9"/>
    <col collapsed="false" customWidth="true" hidden="false" max="18" min="18" style="0" width="9"/>
    <col collapsed="false" customWidth="true" hidden="false" max="19" min="19" style="0" width="9"/>
    <col collapsed="false" customWidth="true" hidden="false" max="20" min="20" style="0" width="9"/>
    <col collapsed="false" customWidth="true" hidden="false" max="21" min="21" style="0" width="9"/>
    <col collapsed="false" customWidth="true" hidden="false" max="22" min="22" style="0" width="9"/>
    <col collapsed="false" customWidth="true" hidden="false" max="23" min="23" style="0" width="9"/>
    <col collapsed="false" customWidth="true" hidden="false" max="24" min="24" style="0" width="9"/>
    <col collapsed="false" customWidth="true" hidden="false" max="25" min="25" style="0" width="9"/>
    <col collapsed="false" customWidth="true" hidden="false" max="26" min="26" style="0" width="9"/>
    <col collapsed="false" customWidth="true" hidden="false" max="27" min="27" style="0" width="9"/>
    <col collapsed="false" customWidth="true" hidden="false" max="28" min="28" style="0" width="9"/>
    <col collapsed="false" customWidth="true" hidden="false" max="29" min="29" style="0" width="9"/>
    <col collapsed="false" customWidth="true" hidden="false" max="30" min="30" style="0" width="9"/>
    <col collapsed="false" customWidth="true" hidden="false" max="31" min="31" style="0" width="9"/>
    <col collapsed="false" customWidth="true" hidden="false" max="32" min="32" style="0" width="9"/>
    <col collapsed="false" customWidth="true" hidden="false" max="33" min="33" style="0" width="9"/>
    <col collapsed="false" customWidth="true" hidden="false" max="34" min="34" style="0" width="9"/>
    <col collapsed="false" customWidth="true" hidden="false" max="35" min="35" style="0" width="9"/>
    <col collapsed="false" customWidth="true" hidden="false" max="36" min="36" style="0" width="9"/>
    <col collapsed="false" customWidth="true" hidden="false" max="37" min="37" style="0" width="9"/>
    <col collapsed="false" customWidth="true" hidden="false" max="38" min="38" style="0" width="9"/>
    <col collapsed="false" customWidth="true" hidden="false" max="39" min="39" style="0" width="9"/>
    <col collapsed="false" customWidth="true" hidden="false" max="40" min="40" style="0" width="9"/>
    <col collapsed="false" customWidth="true" hidden="false" max="41" min="41" style="0" width="9"/>
    <col collapsed="false" customWidth="true" hidden="false" max="42" min="42" style="0" width="9"/>
    <col collapsed="false" customWidth="true" hidden="false" max="43" min="43" style="0" width="9"/>
    <col collapsed="false" customWidth="true" hidden="false" max="44" min="44" style="0" width="9"/>
    <col collapsed="false" customWidth="true" hidden="false" max="45" min="45" style="0" width="9"/>
    <col collapsed="false" customWidth="true" hidden="false" max="46" min="46" style="0" width="9"/>
    <col collapsed="false" customWidth="true" hidden="false" max="47" min="47" style="0" width="9"/>
    <col collapsed="false" customWidth="true" hidden="false" max="48" min="48" style="0" width="9"/>
    <col collapsed="false" customWidth="true" hidden="false" max="49" min="49" style="0" width="9"/>
    <col collapsed="false" customWidth="true" hidden="false" max="50" min="50" style="0" width="9"/>
    <col collapsed="false" customWidth="true" hidden="false" max="51" min="51" style="0" width="9"/>
    <col collapsed="false" customWidth="true" hidden="false" max="52" min="52" style="0" width="9"/>
    <col collapsed="false" customWidth="true" hidden="false" max="53" min="53" style="0" width="9"/>
    <col collapsed="false" customWidth="true" hidden="false" max="54" min="54" style="0" width="9"/>
    <col collapsed="false" customWidth="true" hidden="false" max="55" min="55" style="0" width="9"/>
    <col collapsed="false" customWidth="true" hidden="false" max="56" min="56" style="0" width="9"/>
    <col collapsed="false" customWidth="true" hidden="false" max="57" min="57" style="0" width="9"/>
    <col collapsed="false" customWidth="true" hidden="false" max="58" min="58" style="0" width="9"/>
    <col collapsed="false" customWidth="true" hidden="false" max="59" min="59" style="0" width="9"/>
    <col collapsed="false" customWidth="true" hidden="false" max="60" min="60" style="0" width="9"/>
  </cols>
  <sheetData>
    <row customHeight="true" ht="16" r="1">
      <c r="A1" s="35" t="str"/>
      <c r="B1" s="35" t="str"/>
      <c r="C1" s="35" t="str"/>
      <c r="D1" s="35" t="str"/>
      <c r="E1" s="35" t="str"/>
      <c r="F1" s="35" t="str"/>
      <c r="G1" s="35" t="str"/>
      <c r="H1" s="35" t="str"/>
      <c r="I1" s="1" t="str"/>
      <c r="J1" s="1" t="str"/>
      <c r="K1" s="36" t="str"/>
      <c r="L1" s="36" t="str"/>
      <c r="M1" s="36" t="str"/>
      <c r="N1" s="36" t="str"/>
      <c r="O1" s="36" t="str"/>
      <c r="P1" s="36" t="str"/>
      <c r="Q1" s="36" t="str"/>
      <c r="R1" s="36" t="str"/>
      <c r="S1" s="1" t="str"/>
      <c r="T1" s="1" t="str"/>
      <c r="U1" s="37" t="str"/>
      <c r="V1" s="37" t="str"/>
      <c r="W1" s="37" t="str"/>
      <c r="X1" s="37" t="str"/>
      <c r="Y1" s="37" t="str"/>
      <c r="Z1" s="37" t="str"/>
      <c r="AA1" s="37" t="str"/>
      <c r="AB1" s="37" t="str"/>
      <c r="AC1" s="1" t="str"/>
      <c r="AD1" s="1" t="str"/>
      <c r="AE1" s="35" t="str"/>
      <c r="AF1" s="35" t="str"/>
      <c r="AG1" s="35" t="str"/>
      <c r="AH1" s="35" t="str"/>
      <c r="AI1" s="35" t="str"/>
      <c r="AJ1" s="35" t="str"/>
      <c r="AK1" s="35" t="str"/>
      <c r="AL1" s="35" t="str"/>
      <c r="AM1" s="1" t="str"/>
      <c r="AN1" s="1" t="str"/>
      <c r="AO1" s="36" t="str"/>
      <c r="AP1" s="36" t="str"/>
      <c r="AQ1" s="36" t="str"/>
      <c r="AR1" s="36" t="str"/>
      <c r="AS1" s="36" t="str"/>
      <c r="AT1" s="36" t="str"/>
      <c r="AU1" s="36" t="str"/>
      <c r="AV1" s="36" t="str"/>
      <c r="AW1" s="1" t="str"/>
      <c r="AX1" s="1" t="str"/>
      <c r="AY1" s="37" t="str"/>
      <c r="AZ1" s="37" t="str"/>
      <c r="BA1" s="37" t="str"/>
      <c r="BB1" s="37" t="str"/>
      <c r="BC1" s="37" t="str"/>
      <c r="BD1" s="37" t="str"/>
      <c r="BE1" s="37" t="str"/>
      <c r="BF1" s="37" t="str"/>
      <c r="BG1" s="1" t="str"/>
      <c r="BH1" s="1" t="str"/>
    </row>
    <row customHeight="true" ht="16" r="2">
      <c r="A2" t="str">
        <v>あら、奇遇ね（红过牌）</v>
      </c>
      <c r="H2" s="1" t="str"/>
      <c r="I2" t="str"/>
      <c r="J2" t="str"/>
      <c r="K2" s="3" t="str">
        <v>ほら、一緒に持と♪（蓝再动）</v>
      </c>
      <c r="R2" t="str"/>
      <c r="S2" t="str"/>
      <c r="T2" t="str"/>
      <c r="U2" t="str">
        <v>仕事のつもりで臨みなさい（学生会）</v>
      </c>
      <c r="AB2" s="1" t="str"/>
      <c r="AC2" s="1" t="str"/>
      <c r="AD2" s="1" t="str"/>
      <c r="AE2" s="1" t="str">
        <v>ほっとけないクラスメイト（朝助）</v>
      </c>
      <c r="AL2" s="1" t="str"/>
      <c r="AM2" s="1" t="str"/>
      <c r="AN2" s="1" t="str"/>
      <c r="AO2" s="1" t="str">
        <v>実食！例のSSD（蓝13）</v>
      </c>
      <c r="AV2" s="1" t="str"/>
      <c r="AW2" s="2" t="str">
        <v>道具属性</v>
      </c>
      <c r="AX2" s="1" t="str"/>
      <c r="AY2" s="1" t="str">
        <v>いつか、きっと花開く（sr黄睡）</v>
      </c>
      <c r="BF2" s="1" t="str"/>
      <c r="BG2" s="1" t="str"/>
      <c r="BH2" s="1" t="str"/>
    </row>
    <row customHeight="true" ht="63" r="3">
      <c r="A3" s="13"/>
      <c r="C3" t="str">
        <v>破数</v>
      </c>
      <c r="D3" t="str"/>
      <c r="E3" t="str">
        <v>营业</v>
      </c>
      <c r="F3" s="8" t="str">
        <v>第一属性</v>
      </c>
      <c r="G3" s="5" t="str">
        <v>第二属性</v>
      </c>
      <c r="H3" s="6" t="str">
        <v>第三属性</v>
      </c>
      <c r="I3" t="str"/>
      <c r="J3" t="str"/>
      <c r="K3" s="13"/>
      <c r="M3" t="str">
        <v>破数</v>
      </c>
      <c r="N3" t="str"/>
      <c r="O3" t="str">
        <v>抓a卡</v>
      </c>
      <c r="P3" s="8" t="str">
        <v>第一属性</v>
      </c>
      <c r="Q3" s="5" t="str">
        <v>第二属性</v>
      </c>
      <c r="R3" s="6" t="str">
        <v>第三属性</v>
      </c>
      <c r="S3" t="str"/>
      <c r="T3" t="str"/>
      <c r="U3" s="13"/>
      <c r="W3" t="str">
        <v>破数</v>
      </c>
      <c r="X3" t="str"/>
      <c r="Y3" t="str">
        <v>训练</v>
      </c>
      <c r="Z3" s="8" t="str">
        <v>第一属性</v>
      </c>
      <c r="AA3" s="5" t="str">
        <v>第二属性</v>
      </c>
      <c r="AB3" s="6" t="str">
        <v>第三属性</v>
      </c>
      <c r="AC3" t="str"/>
      <c r="AD3" t="str"/>
      <c r="AG3" t="str">
        <v>破数</v>
      </c>
      <c r="AH3" t="str"/>
      <c r="AI3" t="str">
        <v>强化</v>
      </c>
      <c r="AJ3" s="8" t="str">
        <v>第一属性</v>
      </c>
      <c r="AK3" s="5" t="str">
        <v>第二属性</v>
      </c>
      <c r="AL3" s="6" t="str">
        <v>第三属性</v>
      </c>
      <c r="AM3" t="str"/>
      <c r="AN3" t="str"/>
      <c r="AO3" s="1"/>
      <c r="AQ3" t="str">
        <v>破数</v>
      </c>
      <c r="AR3" t="str"/>
      <c r="AS3" t="str">
        <v>训练</v>
      </c>
      <c r="AT3" s="8" t="str">
        <v>第一属性</v>
      </c>
      <c r="AU3" s="5" t="str">
        <v>第二属性</v>
      </c>
      <c r="AV3" s="6" t="str">
        <v>第三属性</v>
      </c>
      <c r="AW3" s="24">
        <v>39</v>
      </c>
      <c r="AX3" s="1" t="str"/>
      <c r="AY3" s="1"/>
      <c r="BA3" t="str">
        <v>破数</v>
      </c>
      <c r="BB3" t="str"/>
      <c r="BC3" t="str">
        <v>强化</v>
      </c>
      <c r="BD3" s="8" t="str">
        <v>第一属性</v>
      </c>
      <c r="BE3" s="9" t="str">
        <v>第二属性</v>
      </c>
      <c r="BF3" s="6" t="str">
        <v>第三属性</v>
      </c>
      <c r="BG3" s="1" t="str"/>
      <c r="BH3" s="1" t="str"/>
    </row>
    <row customHeight="true" ht="16" r="4">
      <c r="C4" s="7">
        <v>4</v>
      </c>
      <c r="D4" t="str"/>
      <c r="E4">
        <f>IF(C4=-1,0,IF(C4&lt;=3,'词条'!C16,'词条'!D16))</f>
      </c>
      <c r="F4" s="8">
        <f>IF(C4=-1,0,INT(C6+D6*'路线'!B14+E4*'路线'!B30+E6))</f>
      </c>
      <c r="G4" s="5">
        <f>IF(C4=-1,0,INT(C6+D6*'路线'!B17+E4*'路线'!B30+E6))</f>
      </c>
      <c r="H4" s="6">
        <f>IF(C4=-1,0,INT(C6+D6*'路线'!B20+E4*'路线'!B30+E6))</f>
      </c>
      <c r="I4" t="str"/>
      <c r="J4" t="str"/>
      <c r="M4" s="7">
        <v>4</v>
      </c>
      <c r="N4" t="str"/>
      <c r="O4">
        <f>IF(M4=-1,0,IF(M4&lt;=3,'词条'!C14,'词条'!D14))</f>
      </c>
      <c r="P4" s="8">
        <f>IF(M4=-1,0,INT((M6/100)*'路线'!B11+N6*'路线'!B14+O4*'路线'!B23+O6))</f>
      </c>
      <c r="Q4" s="5">
        <f>IF(M4=-1,0,INT((M6/100)*'路线'!B12+N6*'路线'!B17+O4*'路线'!B23+O6))</f>
      </c>
      <c r="R4" s="6">
        <f>IF(M4=-1,0,INT((M6/100)*'路线'!B13+N6*'路线'!B20+O4*'路线'!B23+O6))</f>
      </c>
      <c r="S4" t="str"/>
      <c r="T4" t="str"/>
      <c r="W4" s="7">
        <v>4</v>
      </c>
      <c r="X4" t="str"/>
      <c r="Y4">
        <f>IF(W4=-1,0,IF(W4&lt;=3,'词条'!F6,'词条'!G6))</f>
      </c>
      <c r="Z4" s="8">
        <f>IF(W4=-1,0,IF('路线'!C6="计算",INT(W6+X6*'路线'!B24+Y4*'路线'!B14+Y6+20),INT(W6+X6*'路线'!B24+Y4*'路线'!B14+Y6)))</f>
      </c>
      <c r="AA4" s="5">
        <f>IF(W4=-1,0,IF('路线'!C6="计算",INT(W6+X6*'路线'!B24+Y4*'路线'!B17+Y6+20),INT(W6+X6*'路线'!B24+Y4*'路线'!B17+Y6)))</f>
      </c>
      <c r="AB4" s="6">
        <f>IF(W4=-1,0,IF('路线'!C6="计算",INT(W6+X6*'路线'!B24+Y4*'路线'!B20+Y6+20),INT(W6+X6*'路线'!B24+Y4*'路线'!B20+Y6)))</f>
      </c>
      <c r="AC4" t="str"/>
      <c r="AD4" t="str"/>
      <c r="AG4" s="7">
        <v>4</v>
      </c>
      <c r="AH4" t="str"/>
      <c r="AI4">
        <f>IF(AG4=-1,0,IF(AG4&lt;=3,'词条'!I9,'词条'!J9))</f>
      </c>
      <c r="AJ4" s="5">
        <f>IF(AG4=-1,0,INT(AG6+AH6*'路线'!B31+AI4*('路线'!B28+'路线'!B29)+AI6))</f>
      </c>
      <c r="AK4" s="5">
        <f>IF(AG4=-1,0,INT(AG6+AH6*'路线'!B31+AI4*('路线'!B28+'路线'!B29)+AI6))</f>
      </c>
      <c r="AL4" s="5">
        <f>IF(AG4=-1,0,INT(AG6+AH6*'路线'!B31+AI4*('路线'!B28+'路线'!B29)+AI6))</f>
      </c>
      <c r="AM4" t="str"/>
      <c r="AN4" t="str"/>
      <c r="AQ4" s="7">
        <v>4</v>
      </c>
      <c r="AR4" t="str"/>
      <c r="AS4">
        <f>IF(AQ4=-1,0,IF(AQ4&lt;=3,'词条'!I6,'词条'!J6))</f>
      </c>
      <c r="AT4" s="5">
        <f>IF(AQ4=-1,0,INT(AQ6+AR6*'路线'!B33+AS4*'路线'!B14+AS6))</f>
      </c>
      <c r="AU4" s="5">
        <f>IF(AQ4=-1,0,INT(AQ6+AR6*'路线'!B33+AS4*'路线'!B17+AS6))</f>
      </c>
      <c r="AV4" s="9">
        <f>IF(AQ4=-1,0,INT(AQ6+AR6*'路线'!B33+AS4*'路线'!B20+AS6))</f>
      </c>
      <c r="AW4" s="2">
        <f>AT4+AW3</f>
      </c>
      <c r="AX4" s="1" t="str"/>
      <c r="BA4" s="7">
        <v>4</v>
      </c>
      <c r="BB4" t="str"/>
      <c r="BC4">
        <f>IF(BA4=-1,0,IF(BA4&lt;=3,'词条'!I9,'词条'!J9))</f>
      </c>
      <c r="BD4" s="5">
        <f>IF(BA4=-1,0,INT(BA6+BB6*'路线'!B32+BC4*('路线'!B28+'路线'!B29)+BC6))</f>
      </c>
      <c r="BE4" s="5">
        <f>IF(BA4=-1,0,INT(BA6+BB6*'路线'!B32+BC4*('路线'!B28+'路线'!B29)+BC6))</f>
      </c>
      <c r="BF4" s="9">
        <f>IF(BA4=-1,0,INT(BA6+BB6*'路线'!B32+BC4*('路线'!B28+'路线'!B29)+BC6))</f>
      </c>
      <c r="BG4" s="1" t="str"/>
      <c r="BH4" s="1" t="str"/>
    </row>
    <row customHeight="true" ht="16" r="5">
      <c r="C5" t="str">
        <v>基础值</v>
      </c>
      <c r="D5" t="str">
        <v>训练</v>
      </c>
      <c r="E5" t="str">
        <v>事件</v>
      </c>
      <c r="F5" s="13" t="str"/>
      <c r="I5" t="str"/>
      <c r="J5" t="str"/>
      <c r="M5" t="str">
        <v>百分比</v>
      </c>
      <c r="N5" t="str">
        <v>训练</v>
      </c>
      <c r="O5" t="str">
        <v>事件</v>
      </c>
      <c r="P5" s="13" t="str"/>
      <c r="S5" t="str"/>
      <c r="T5" t="str"/>
      <c r="W5" t="str">
        <v>基础值</v>
      </c>
      <c r="X5" t="str">
        <v>抓m卡</v>
      </c>
      <c r="Y5" t="str">
        <v>事件</v>
      </c>
      <c r="Z5" s="13" t="str"/>
      <c r="AC5" t="str"/>
      <c r="AD5" t="str"/>
      <c r="AG5" t="str">
        <v>基础值</v>
      </c>
      <c r="AH5" t="str">
        <v>外出</v>
      </c>
      <c r="AI5" t="str">
        <v>事件</v>
      </c>
      <c r="AJ5" s="13" t="str"/>
      <c r="AM5" t="str"/>
      <c r="AN5" t="str"/>
      <c r="AQ5" t="str">
        <v>基础值</v>
      </c>
      <c r="AR5" t="str">
        <v>相谈</v>
      </c>
      <c r="AS5" t="str">
        <v>事件</v>
      </c>
      <c r="AT5" s="13" t="str"/>
      <c r="AW5" s="2">
        <f>AU4+AW3</f>
      </c>
      <c r="AX5" s="1" t="str"/>
      <c r="BA5" t="str">
        <v>基础值</v>
      </c>
      <c r="BB5" t="str">
        <v>休息</v>
      </c>
      <c r="BC5" t="str">
        <v>事件</v>
      </c>
      <c r="BD5" s="13" t="str"/>
      <c r="BG5" s="1" t="str"/>
      <c r="BH5" s="1" t="str"/>
    </row>
    <row customHeight="true" ht="16" r="6">
      <c r="C6">
        <f>IF(C4=-1,0,INDEX('词条'!C3:G3,C4+1))</f>
      </c>
      <c r="D6">
        <f>IF(C4=-1,0,IF(C4&lt;=2,'词条'!C6,'词条'!D6))</f>
      </c>
      <c r="E6">
        <f>IF(C4=-1,0,CHOOSE(C4+1,'词条'!C2,'词条'!D2,'词条'!D2,'词条'!D2,'词条'!E2))</f>
      </c>
      <c r="F6" s="11" t="str">
        <v>通用</v>
      </c>
      <c r="I6" t="str"/>
      <c r="J6" t="str"/>
      <c r="M6">
        <f>IF(M4=-1,0,INDEX('词条'!C4:G4,M4+1))</f>
      </c>
      <c r="N6">
        <f>IF(M4=-1,0,IF(M4&lt;=2,'词条'!C6,'词条'!D6))</f>
      </c>
      <c r="O6">
        <f>IF(M4=-1,0,CHOOSE(M4+1,'词条'!C2,'词条'!D2,'词条'!D2,'词条'!D2,'词条'!E2))</f>
      </c>
      <c r="P6" s="11" t="str">
        <v>通用</v>
      </c>
      <c r="S6" t="str"/>
      <c r="T6" t="str"/>
      <c r="W6">
        <f>IF(W4=-1,0,INDEX('词条'!C3:G3,W4+1))</f>
      </c>
      <c r="X6">
        <f>IF(W4=-1,0,IF(W4&lt;=2,'词条'!F13,'词条'!G13))</f>
      </c>
      <c r="Y6">
        <f>IF(W4=-1,0,CHOOSE(W4+1,'词条'!C2,'词条'!D2,'词条'!D2,'词条'!D2,'词条'!E2))</f>
      </c>
      <c r="Z6" s="11" t="str">
        <v>通用</v>
      </c>
      <c r="AC6" t="str"/>
      <c r="AD6" t="str"/>
      <c r="AG6">
        <f>IF(AG4=-1,0,INDEX('词条'!I3:M3,AG4+1))</f>
      </c>
      <c r="AH6">
        <f>IF(AG4=-1,0,IF(AG4&lt;=2,'词条'!I17,'词条'!J17))</f>
      </c>
      <c r="AI6">
        <f>IF(AG4=-1,0,CHOOSE(AG4+1,'词条'!I2,'词条'!I2,'词条'!J2,'词条'!J2,'词条'!K2))</f>
      </c>
      <c r="AJ6" s="11" t="str">
        <v>通用</v>
      </c>
      <c r="AM6" t="str"/>
      <c r="AN6" t="str"/>
      <c r="AQ6">
        <f>IF(AQ4=-1,0,INDEX('词条'!I3:M3,AQ4+1))</f>
      </c>
      <c r="AR6">
        <f>IF(AQ4=-1,0,IF(AQ4&lt;=2,'词条'!I18,'词条'!J18))</f>
      </c>
      <c r="AS6">
        <f>IF(AQ4=-1,0,CHOOSE(AQ4+1,'词条'!I2,'词条'!I2,'词条'!J2,'词条'!J2,'词条'!K2))</f>
      </c>
      <c r="AT6" s="11" t="str">
        <v>通用</v>
      </c>
      <c r="AW6" s="2">
        <f>AV4</f>
      </c>
      <c r="AX6" s="1" t="str"/>
      <c r="BA6">
        <f>IF(BA4=-1,0,INDEX('词条'!I3:M3,BA4+1))</f>
      </c>
      <c r="BB6">
        <f>IF(BA4=-1,0,IF(BA4&lt;=2,'词条'!I5,'词条'!J5))</f>
      </c>
      <c r="BC6">
        <f>IF(BA4=-1,0,CHOOSE(BA4+1,'词条'!I2,'词条'!I2,'词条'!J2,'词条'!J2,'词条'!K2))</f>
      </c>
      <c r="BD6" s="11" t="str">
        <v>通用</v>
      </c>
      <c r="BG6" s="1" t="str"/>
      <c r="BH6" s="1" t="str"/>
    </row>
    <row customHeight="true" ht="16" r="7">
      <c r="A7" t="str"/>
      <c r="B7" t="str"/>
      <c r="C7" t="str"/>
      <c r="D7" t="str"/>
      <c r="E7" t="str"/>
      <c r="F7" t="str"/>
      <c r="G7" t="str"/>
      <c r="H7" t="str"/>
      <c r="I7" t="str"/>
      <c r="J7" t="str"/>
      <c r="K7" t="str"/>
      <c r="L7" t="str"/>
      <c r="M7" t="str"/>
      <c r="N7" t="str"/>
      <c r="O7" t="str"/>
      <c r="P7" t="str"/>
      <c r="Q7" t="str"/>
      <c r="R7" t="str"/>
      <c r="S7" t="str"/>
      <c r="T7" t="str"/>
      <c r="U7" t="str"/>
      <c r="V7" t="str"/>
      <c r="W7" t="str"/>
      <c r="X7" t="str"/>
      <c r="Y7" t="str"/>
      <c r="Z7" t="str"/>
      <c r="AA7" t="str"/>
      <c r="AB7" s="1" t="str"/>
      <c r="AC7" s="1" t="str"/>
      <c r="AD7" s="1" t="str"/>
      <c r="AE7" s="1" t="str"/>
      <c r="AF7" s="1" t="str"/>
      <c r="AG7" s="1" t="str"/>
      <c r="AH7" s="1" t="str"/>
      <c r="AI7" s="1" t="str"/>
      <c r="AJ7" s="1" t="str"/>
      <c r="AK7" s="1" t="str"/>
      <c r="AL7" s="1" t="str"/>
      <c r="AM7" s="1" t="str"/>
      <c r="AN7" s="1" t="str"/>
      <c r="AO7" s="1" t="str"/>
      <c r="AP7" s="1" t="str"/>
      <c r="AQ7" s="1" t="str"/>
      <c r="AR7" s="1" t="str"/>
      <c r="AS7" s="1" t="str"/>
      <c r="AT7" s="1" t="str"/>
      <c r="AU7" s="1" t="str"/>
      <c r="AV7" s="1" t="str"/>
      <c r="AW7" s="1" t="str"/>
      <c r="AX7" s="1" t="str"/>
      <c r="AY7" s="1" t="str"/>
      <c r="AZ7" s="1" t="str"/>
      <c r="BA7" s="1" t="str"/>
      <c r="BB7" s="1" t="str"/>
      <c r="BC7" s="1" t="str"/>
      <c r="BD7" s="1" t="str"/>
      <c r="BE7" s="1" t="str"/>
      <c r="BF7" s="1" t="str"/>
      <c r="BG7" s="1" t="str"/>
      <c r="BH7" s="1" t="str"/>
    </row>
    <row customHeight="true" ht="16" r="8">
      <c r="A8" t="str">
        <v>また、あんなに無理をして（红毛巾）</v>
      </c>
      <c r="H8" t="str"/>
      <c r="I8" t="str"/>
      <c r="J8" t="str"/>
      <c r="K8" t="str">
        <v>まじか。（光舞台）</v>
      </c>
      <c r="R8" t="str"/>
      <c r="S8" t="str"/>
      <c r="T8" t="str"/>
      <c r="U8" t="str">
        <v>私の目に狂いはない（黄再动）</v>
      </c>
      <c r="AB8" s="1" t="str"/>
      <c r="AC8" s="1" t="str"/>
      <c r="AD8" s="1" t="str"/>
      <c r="AE8" s="1" t="str">
        <v>マイペース、マイライフ（红13）</v>
      </c>
      <c r="AL8" s="1" t="str"/>
      <c r="AM8" s="2" t="str">
        <v>道具属性</v>
      </c>
      <c r="AN8" s="1" t="str"/>
      <c r="AO8" s="1" t="str">
        <v>嬉し恥ずかし夢心地（姐姐百科）</v>
      </c>
      <c r="AV8" s="1" t="str"/>
      <c r="AW8" s="2" t="str">
        <v>道具属性</v>
      </c>
      <c r="AX8" s="1" t="str"/>
      <c r="AY8" s="1" t="str">
        <v>思惑とガクガク（黄13）</v>
      </c>
      <c r="BF8" s="1" t="str"/>
      <c r="BG8" s="2" t="str">
        <v>道具属性</v>
      </c>
      <c r="BH8" t="str"/>
    </row>
    <row customHeight="true" ht="63" r="9">
      <c r="A9" s="13"/>
      <c r="C9" t="str">
        <v>破数</v>
      </c>
      <c r="D9" t="str"/>
      <c r="E9" t="str">
        <v>抓m卡</v>
      </c>
      <c r="F9" s="8" t="str">
        <v>第一属性</v>
      </c>
      <c r="G9" s="5" t="str">
        <v>第二属性</v>
      </c>
      <c r="H9" s="6" t="str">
        <v>第三属性</v>
      </c>
      <c r="I9" t="str"/>
      <c r="J9" t="str"/>
      <c r="K9" s="13"/>
      <c r="M9" t="str">
        <v>破数</v>
      </c>
      <c r="N9" t="str"/>
      <c r="O9" t="str">
        <v>相谈</v>
      </c>
      <c r="P9" s="8" t="str">
        <v>第一属性</v>
      </c>
      <c r="Q9" s="5" t="str">
        <v>第二属性</v>
      </c>
      <c r="R9" s="6" t="str">
        <v>第三属性</v>
      </c>
      <c r="S9" t="str"/>
      <c r="T9" t="str"/>
      <c r="U9" s="13"/>
      <c r="W9" t="str">
        <v>破数</v>
      </c>
      <c r="X9" t="str"/>
      <c r="Y9" t="str">
        <v>强化</v>
      </c>
      <c r="Z9" s="8" t="str">
        <v>第一属性</v>
      </c>
      <c r="AA9" s="5" t="str">
        <v>第二属性</v>
      </c>
      <c r="AB9" s="6" t="str">
        <v>第三属性</v>
      </c>
      <c r="AC9" t="str"/>
      <c r="AD9" t="str"/>
      <c r="AG9" t="str">
        <v>破数</v>
      </c>
      <c r="AH9" t="str"/>
      <c r="AI9" t="str">
        <v>训练</v>
      </c>
      <c r="AJ9" s="8" t="str">
        <v>第一属性</v>
      </c>
      <c r="AK9" s="5" t="str">
        <v>第二属性</v>
      </c>
      <c r="AL9" s="6" t="str">
        <v>第三属性</v>
      </c>
      <c r="AM9" s="24">
        <v>39</v>
      </c>
      <c r="AN9" t="str"/>
      <c r="AO9" s="1"/>
      <c r="AQ9" t="str">
        <v>破数</v>
      </c>
      <c r="AR9" t="str"/>
      <c r="AS9" t="str">
        <v>通常训练</v>
      </c>
      <c r="AT9" s="8" t="str">
        <v>第一属性</v>
      </c>
      <c r="AU9" s="5" t="str">
        <v>第二属性</v>
      </c>
      <c r="AV9" s="6" t="str">
        <v>第三属性</v>
      </c>
      <c r="AW9" s="24">
        <v>52</v>
      </c>
      <c r="AX9" s="1" t="str"/>
      <c r="AY9" s="1"/>
      <c r="BA9" t="str">
        <v>破数</v>
      </c>
      <c r="BB9" t="str"/>
      <c r="BC9" t="str">
        <v>训练</v>
      </c>
      <c r="BD9" s="8" t="str">
        <v>第一属性</v>
      </c>
      <c r="BE9" s="9" t="str">
        <v>第二属性</v>
      </c>
      <c r="BF9" s="6" t="str">
        <v>第三属性</v>
      </c>
      <c r="BG9" s="24">
        <v>39</v>
      </c>
      <c r="BH9" t="str"/>
    </row>
    <row customHeight="true" ht="16" r="10">
      <c r="C10" s="7">
        <v>4</v>
      </c>
      <c r="D10" t="str"/>
      <c r="E10">
        <f>IF(C10=-1,0,IF(C10&lt;=3,'词条'!C13,'词条'!D13))</f>
      </c>
      <c r="F10" s="8">
        <f>IF(C10=-1,0,INT((C12/100)*'路线'!B11+D12*'路线'!B31+E10*'路线'!B24+E12))</f>
      </c>
      <c r="G10" s="5">
        <f>IF(C10=-1,0,INT((C12/100)*'路线'!B12+D12*'路线'!B31+E10*'路线'!B24+E12))</f>
      </c>
      <c r="H10" s="6">
        <f>IF(C10=-1,0,INT((C12/100)*'路线'!B13+D12*'路线'!B31+E10*'路线'!B24+E12))</f>
      </c>
      <c r="I10" t="str"/>
      <c r="J10" t="str"/>
      <c r="M10" s="7">
        <v>4</v>
      </c>
      <c r="N10" t="str"/>
      <c r="O10">
        <f>IF(M10=-1,0,IF(M10&lt;=3,'词条'!C18,'词条'!D18))</f>
      </c>
      <c r="P10" s="8">
        <f>IF(M10=-1,0,IF('路线'!C6="计算",INT(M12+N12*'路线'!B14+O10*'路线'!B33+O12+20),INT(M12+N12*'路线'!B14+O10*'路线'!B33+O12)))</f>
      </c>
      <c r="Q10" s="5">
        <f>IF(M10=-1,0,IF('路线'!C6="计算",INT(M12+N12*'路线'!B17+O10*'路线'!B33+O12+20),INT(M12+N12*'路线'!B17+O10*'路线'!B33+O12)))</f>
      </c>
      <c r="R10" s="6">
        <f>IF(M10=-1,0,IF('路线'!C6="计算",INT(M12+N12*'路线'!B20+O10*'路线'!B33+O12+20),INT(M12+N12*'路线'!B20+O10*'路线'!B33+O12)))</f>
      </c>
      <c r="S10" t="str"/>
      <c r="T10" t="str"/>
      <c r="W10" s="7">
        <v>4</v>
      </c>
      <c r="X10" t="str"/>
      <c r="Y10">
        <f>IF(W10=-1,0,IF(W10&lt;=3,'词条'!C9,'词条'!D9))</f>
      </c>
      <c r="Z10" s="8">
        <f>IF(W10=-1,0,INT((W12/100)*'路线'!B11+X12*'路线'!B30+Y10*('路线'!B28+'路线'!B29)+Y12))</f>
      </c>
      <c r="AA10" s="5">
        <f>IF(W10=-1,0,INT((W12/100)*'路线'!B12+X12*'路线'!B30+Y10*('路线'!B28+'路线'!B29)+Y12))</f>
      </c>
      <c r="AB10" s="6">
        <f>IF(W10=-1,0,INT((W12/100)*'路线'!B13+X12*'路线'!B30+Y10*('路线'!B28+'路线'!B29)+Y12))</f>
      </c>
      <c r="AC10" t="str"/>
      <c r="AD10" t="str"/>
      <c r="AG10" s="7">
        <v>4</v>
      </c>
      <c r="AH10" t="str"/>
      <c r="AI10">
        <f>IF(AG10=-1,0,IF(AG10&lt;=3,'词条'!I6,'词条'!J6))</f>
      </c>
      <c r="AJ10" s="5">
        <f>IF(AG10=-1,0,INT(AG12+AH12*'路线'!B33+AI10*'路线'!B14+AI12))</f>
      </c>
      <c r="AK10" s="5">
        <f>IF(AG10=-1,0,INT(AG12+AH12*'路线'!B33+AI10*'路线'!B17+AI12))</f>
      </c>
      <c r="AL10" s="5">
        <f>IF(AG10=-1,0,INT(AG12+AH12*'路线'!B33+AI10*'路线'!B20+AI12))</f>
      </c>
      <c r="AM10" s="2">
        <f>AJ10+AM9</f>
      </c>
      <c r="AN10" t="str"/>
      <c r="AQ10" s="7">
        <v>4</v>
      </c>
      <c r="AR10" t="str"/>
      <c r="AS10">
        <f>IF(AQ10=-1,0,IF(AQ10&lt;=3,'词条'!I8,'词条'!J8))</f>
      </c>
      <c r="AT10" s="5">
        <f>IF(AQ10=-1,0,INT(AQ12+AR12*'路线'!B30+AS10*'路线'!B16+AS12))</f>
      </c>
      <c r="AU10" s="5">
        <f>IF(AQ10=-1,0,INT(AQ12+AR12*'路线'!B30+AS10*'路线'!B19+AS12))</f>
      </c>
      <c r="AV10" s="5">
        <f>IF(AQ10=-1,0,INT(AQ12+AR12*'路线'!B30+AS10*'路线'!B22+AS12))</f>
      </c>
      <c r="AW10" s="2">
        <f>AT10+AW9</f>
      </c>
      <c r="AX10" s="1" t="str"/>
      <c r="BA10" s="7">
        <v>4</v>
      </c>
      <c r="BB10" t="str"/>
      <c r="BC10">
        <f>IF(BA10=-1,0,IF(BA10&lt;=3,'词条'!I6,'词条'!J6))</f>
      </c>
      <c r="BD10" s="5">
        <f>IF(BA10=-1,0,INT(BA12+BB12*'路线'!B33+BC10*'路线'!B14+BC12))</f>
      </c>
      <c r="BE10" s="5">
        <f>IF(BA10=-1,0,INT(BA12+BB12*'路线'!B33+BC10*'路线'!B17+BC12))</f>
      </c>
      <c r="BF10" s="9">
        <f>IF(BA10=-1,0,INT(BA12+BB12*'路线'!B33+BC10*'路线'!B20+BC12))</f>
      </c>
      <c r="BG10" s="2">
        <f>BD10+BG9</f>
      </c>
      <c r="BH10" t="str"/>
    </row>
    <row customHeight="true" ht="16" r="11">
      <c r="C11" t="str">
        <v>百分比</v>
      </c>
      <c r="D11" t="str">
        <v>外出</v>
      </c>
      <c r="E11" t="str">
        <v>事件</v>
      </c>
      <c r="F11" s="13" t="str"/>
      <c r="I11" t="str"/>
      <c r="J11" t="str"/>
      <c r="M11" t="str">
        <v>基础值</v>
      </c>
      <c r="N11" t="str">
        <v>训练</v>
      </c>
      <c r="O11" t="str">
        <v>事件</v>
      </c>
      <c r="P11" s="13" t="str"/>
      <c r="S11" t="str"/>
      <c r="T11" t="str"/>
      <c r="W11" t="str">
        <v>百分比</v>
      </c>
      <c r="X11" t="str">
        <v>营业</v>
      </c>
      <c r="Y11" t="str">
        <v>事件</v>
      </c>
      <c r="Z11" s="13" t="str"/>
      <c r="AC11" t="str"/>
      <c r="AD11" t="str"/>
      <c r="AG11" t="str">
        <v>基础值</v>
      </c>
      <c r="AH11" t="str">
        <v>相谈</v>
      </c>
      <c r="AI11" t="str">
        <v>事件</v>
      </c>
      <c r="AJ11" s="13" t="str"/>
      <c r="AM11" s="2">
        <f>AK10+AM9</f>
      </c>
      <c r="AN11" t="str"/>
      <c r="AQ11" t="str">
        <v>基础值</v>
      </c>
      <c r="AR11" t="str">
        <v>营业</v>
      </c>
      <c r="AS11" t="str">
        <v>事件</v>
      </c>
      <c r="AT11" s="13" t="str"/>
      <c r="AW11" s="2">
        <f>AU10+AW9</f>
      </c>
      <c r="AX11" s="1" t="str"/>
      <c r="BA11" t="str">
        <v>基础值</v>
      </c>
      <c r="BB11" t="str">
        <v>相谈</v>
      </c>
      <c r="BC11" t="str">
        <v>事件</v>
      </c>
      <c r="BD11" s="13" t="str"/>
      <c r="BG11" s="2">
        <f>BE10+BG9</f>
      </c>
      <c r="BH11" t="str"/>
    </row>
    <row customHeight="true" ht="16" r="12">
      <c r="C12">
        <f>IF(C10=-1,0,INDEX('词条'!C4:G4,C10+1))</f>
      </c>
      <c r="D12">
        <f>IF(C10=-1,0,IF(C10&lt;=2,'词条'!C17,'词条'!D17))</f>
      </c>
      <c r="E12">
        <f>IF(C10=-1,0,CHOOSE(C10+1,'词条'!C2,'词条'!D2,'词条'!D2,'词条'!D2,'词条'!E2))</f>
      </c>
      <c r="F12" s="11" t="str">
        <v>通用</v>
      </c>
      <c r="I12" t="str"/>
      <c r="J12" t="str"/>
      <c r="M12">
        <f>IF(M10=-1,0,INDEX('词条'!C3:G3,M10+1))</f>
      </c>
      <c r="N12">
        <f>IF(M10=-1,0,IF(M10&lt;=2,'词条'!C6,'词条'!D6))</f>
      </c>
      <c r="O12">
        <f>IF(M10=-1,0,CHOOSE(M10+1,'词条'!C2,'词条'!D2,'词条'!D2,'词条'!D2,'词条'!E2))</f>
      </c>
      <c r="P12" s="11" t="str">
        <v>通用</v>
      </c>
      <c r="S12" t="str"/>
      <c r="T12" t="str"/>
      <c r="W12">
        <f>IF(W10=-1,0,INDEX('词条'!C4:G4,W10+1))</f>
      </c>
      <c r="X12">
        <f>IF(W10=-1,0,IF(W10&lt;=2,'词条'!C16,'词条'!D16))</f>
      </c>
      <c r="Y12">
        <f>IF(W10=-1,0,CHOOSE(W10+1,'词条'!C2,'词条'!D2,'词条'!D2,'词条'!D2,'词条'!E2))</f>
      </c>
      <c r="Z12" s="11" t="str">
        <v>通用</v>
      </c>
      <c r="AC12" t="str"/>
      <c r="AD12" t="str"/>
      <c r="AG12">
        <f>IF(AG10=-1,0,INDEX('词条'!I3:M3,AG10+1))</f>
      </c>
      <c r="AH12">
        <f>IF(AG10=-1,0,IF(AG10&lt;=2,'词条'!I18,'词条'!J18))</f>
      </c>
      <c r="AI12">
        <f>IF(AG10=-1,0,CHOOSE(AG10+1,'词条'!I2,'词条'!I2,'词条'!J2,'词条'!J2,'词条'!K2))</f>
      </c>
      <c r="AJ12" s="11" t="str">
        <v>通用</v>
      </c>
      <c r="AM12" s="2">
        <f>AL10</f>
      </c>
      <c r="AN12" t="str"/>
      <c r="AQ12">
        <f>IF(AQ10=-1,0,INDEX('词条'!I3:M3,AQ10+1))</f>
      </c>
      <c r="AR12">
        <f>IF(AQ10=-1,0,IF(AQ10&lt;=2,'词条'!I16,'词条'!J16))</f>
      </c>
      <c r="AS12">
        <f>IF(AQ10=-1,0,CHOOSE(AQ10+1,'词条'!I2,'词条'!I2,'词条'!J2,'词条'!J2,'词条'!K2))</f>
      </c>
      <c r="AT12" s="11" t="str">
        <v>通用</v>
      </c>
      <c r="AW12" s="2">
        <f>AV10+AW9</f>
      </c>
      <c r="AX12" s="1" t="str"/>
      <c r="BA12">
        <f>IF(BA10=-1,0,INDEX('词条'!I3:M3,BA10+1))</f>
      </c>
      <c r="BB12">
        <f>IF(BA10=-1,0,IF(BA10&lt;=2,'词条'!I18,'词条'!J18))</f>
      </c>
      <c r="BC12">
        <f>IF(BA10=-1,0,CHOOSE(BA10+1,'词条'!I2,'词条'!I2,'词条'!J2,'词条'!J2,'词条'!K2))</f>
      </c>
      <c r="BD12" s="11" t="str">
        <v>通用</v>
      </c>
      <c r="BG12" s="2">
        <f>BF10</f>
      </c>
      <c r="BH12" t="str"/>
    </row>
    <row customHeight="true" ht="16" r="13">
      <c r="A13" t="str"/>
      <c r="B13" t="str"/>
      <c r="C13" t="str"/>
      <c r="D13" t="str"/>
      <c r="E13" t="str"/>
      <c r="F13" t="str"/>
      <c r="G13" t="str"/>
      <c r="H13" t="str"/>
      <c r="I13" t="str"/>
      <c r="J13" t="str"/>
      <c r="K13" t="str"/>
      <c r="L13" t="str"/>
      <c r="M13" t="str"/>
      <c r="N13" t="str"/>
      <c r="O13" t="str"/>
      <c r="P13" t="str"/>
      <c r="Q13" t="str"/>
      <c r="R13" t="str"/>
      <c r="S13" t="str"/>
      <c r="T13" t="str"/>
      <c r="U13" t="str"/>
      <c r="V13" t="str"/>
      <c r="W13" t="str"/>
      <c r="X13" t="str"/>
      <c r="Y13" t="str"/>
      <c r="Z13" t="str"/>
      <c r="AA13" t="str"/>
      <c r="AB13" s="1" t="str"/>
      <c r="AC13" s="1" t="str"/>
      <c r="AD13" s="1" t="str"/>
      <c r="AE13" s="1" t="str"/>
      <c r="AF13" s="1" t="str"/>
      <c r="AG13" s="1" t="str"/>
      <c r="AH13" s="1" t="str"/>
      <c r="AI13" s="1" t="str"/>
      <c r="AJ13" s="1" t="str"/>
      <c r="AK13" s="1" t="str"/>
      <c r="AL13" s="1" t="str"/>
      <c r="AM13" s="1" t="str"/>
      <c r="AN13" s="1" t="str"/>
      <c r="AO13" s="1" t="str"/>
      <c r="AP13" s="1" t="str"/>
      <c r="AQ13" s="1" t="str"/>
      <c r="AR13" s="1" t="str"/>
      <c r="AS13" s="1" t="str"/>
      <c r="AT13" s="1" t="str"/>
      <c r="AU13" s="1" t="str"/>
      <c r="AV13" s="1" t="str"/>
      <c r="AW13" s="1" t="str"/>
      <c r="AX13" s="1" t="str"/>
      <c r="AY13" s="1" t="str"/>
      <c r="AZ13" s="1" t="str"/>
      <c r="BA13" s="1" t="str"/>
      <c r="BB13" s="1" t="str"/>
      <c r="BC13" s="1" t="str"/>
      <c r="BD13" s="1" t="str"/>
      <c r="BE13" s="1" t="str"/>
      <c r="BF13" s="1" t="str"/>
      <c r="BG13" s="1" t="str"/>
      <c r="BH13" s="1" t="str"/>
    </row>
    <row customHeight="true" ht="16" r="14">
      <c r="A14" t="str">
        <v>可愛いと可愛いで可愛い！（三可爱）</v>
      </c>
      <c r="H14" t="str"/>
      <c r="I14" t="str"/>
      <c r="J14" t="str"/>
      <c r="K14" t="str">
        <v>わたしたち、やればできる（蓝厨房）</v>
      </c>
      <c r="R14" t="str"/>
      <c r="S14" t="str"/>
      <c r="T14" t="str"/>
      <c r="U14" t="str">
        <v>まるで王子様みたいな（王子）</v>
      </c>
      <c r="AB14" s="1" t="str"/>
      <c r="AC14" s="1" t="str"/>
      <c r="AD14" s="1" t="str"/>
      <c r="AE14" s="1" t="str">
        <v>愛無き暗記は難しい（永年）</v>
      </c>
      <c r="AL14" t="str"/>
      <c r="AM14" s="2" t="str">
        <v>道具属性</v>
      </c>
      <c r="AN14" s="1" t="str"/>
      <c r="AO14" t="str">
        <v>ふわふわでワクワク（蓝饮料）</v>
      </c>
      <c r="AV14" s="1" t="str"/>
      <c r="AW14" s="1" t="str"/>
      <c r="AX14" s="1" t="str"/>
      <c r="AY14" s="1" t="str">
        <v>ほっぺた、ぷに（黄永年）</v>
      </c>
      <c r="BF14" s="1" t="str"/>
      <c r="BG14" s="2" t="str">
        <v>道具属性</v>
      </c>
      <c r="BH14" s="1" t="str"/>
    </row>
    <row customHeight="true" ht="63" r="15">
      <c r="A15" s="13"/>
      <c r="C15" t="str">
        <v>破数</v>
      </c>
      <c r="D15" t="str"/>
      <c r="E15" t="str">
        <v>抓a卡</v>
      </c>
      <c r="F15" s="8" t="str">
        <v>第一属性</v>
      </c>
      <c r="G15" s="5" t="str">
        <v>第二属性</v>
      </c>
      <c r="H15" s="6" t="str">
        <v>第三属性</v>
      </c>
      <c r="I15" t="str"/>
      <c r="J15" t="str"/>
      <c r="K15" s="13"/>
      <c r="M15" t="str">
        <v>破数</v>
      </c>
      <c r="N15" t="str"/>
      <c r="O15" t="str">
        <v>sp训练</v>
      </c>
      <c r="P15" s="8" t="str">
        <v>第一属性</v>
      </c>
      <c r="Q15" s="5" t="str">
        <v>第二属性</v>
      </c>
      <c r="R15" s="6" t="str">
        <v>第三属性</v>
      </c>
      <c r="S15" t="str"/>
      <c r="T15" t="str"/>
      <c r="U15" s="13"/>
      <c r="W15" t="str">
        <v>破数</v>
      </c>
      <c r="X15" t="str"/>
      <c r="Y15" t="str">
        <v>抓m卡</v>
      </c>
      <c r="Z15" s="8" t="str">
        <v>第一属性</v>
      </c>
      <c r="AA15" s="5" t="str">
        <v>第二属性</v>
      </c>
      <c r="AB15" s="6" t="str">
        <v>第三属性</v>
      </c>
      <c r="AC15" t="str"/>
      <c r="AD15" t="str"/>
      <c r="AG15" t="str">
        <v>破数</v>
      </c>
      <c r="AH15" t="str"/>
      <c r="AI15" t="str">
        <v>通常训练</v>
      </c>
      <c r="AJ15" s="8" t="str">
        <v>第一属性</v>
      </c>
      <c r="AK15" s="5" t="str">
        <v>第二属性</v>
      </c>
      <c r="AL15" s="6" t="str">
        <v>第三属性</v>
      </c>
      <c r="AM15" s="24">
        <v>52</v>
      </c>
      <c r="AN15" s="1" t="str"/>
      <c r="AO15" s="13"/>
      <c r="AQ15" t="str">
        <v>破数</v>
      </c>
      <c r="AR15" t="str"/>
      <c r="AS15" t="str">
        <v>sp训练</v>
      </c>
      <c r="AT15" s="8" t="str">
        <v>第一属性</v>
      </c>
      <c r="AU15" s="5" t="str">
        <v>第二属性</v>
      </c>
      <c r="AV15" s="6" t="str">
        <v>第三属性</v>
      </c>
      <c r="AW15" s="1" t="str"/>
      <c r="AX15" s="1" t="str"/>
      <c r="AY15" s="1"/>
      <c r="BA15" t="str">
        <v>破数</v>
      </c>
      <c r="BB15" t="str"/>
      <c r="BC15" t="str">
        <v>通常训练</v>
      </c>
      <c r="BD15" s="8" t="str">
        <v>第一属性</v>
      </c>
      <c r="BE15" s="9" t="str">
        <v>第二属性</v>
      </c>
      <c r="BF15" s="6" t="str">
        <v>第三属性</v>
      </c>
      <c r="BG15" s="24">
        <v>52</v>
      </c>
      <c r="BH15" s="1" t="str"/>
    </row>
    <row customHeight="true" ht="16" r="16">
      <c r="C16" s="7">
        <v>4</v>
      </c>
      <c r="D16" t="str"/>
      <c r="E16">
        <f>IF(C16=-1,0,IF(C16&lt;=3,'词条'!C14,'词条'!D14))</f>
      </c>
      <c r="F16" s="8">
        <f>IF(C16=-1,0,IF('路线'!C6="计算",INT(C18+D18*'路线'!B15+E16*'路线'!B23+E18+20),INT(C18+D18*'路线'!B15+E16*'路线'!B23+E18)))</f>
      </c>
      <c r="G16" s="5">
        <f>IF(C16=-1,0,IF('路线'!C6="计算",INT(C18+D18*'路线'!B18+E16*'路线'!B23+E18+20),INT(C18+D18*'路线'!B18+E16*'路线'!B23+E18)))</f>
      </c>
      <c r="H16" s="6">
        <f>IF(C16=-1,0,IF('路线'!C6="计算",INT(C18+D18*'路线'!B21+E16*'路线'!B23+E18+20),INT(C18+D18*'路线'!B21+E16*'路线'!B23+E18)))</f>
      </c>
      <c r="I16" t="str"/>
      <c r="J16" t="str"/>
      <c r="M16" s="7">
        <v>4</v>
      </c>
      <c r="N16" t="str"/>
      <c r="O16">
        <f>IF(M16=-1,0,IF(M16&lt;=3,'词条'!F7,'词条'!G7))</f>
      </c>
      <c r="P16" s="8">
        <f>IF(M16=-1,0,IF('路线'!C6="计算",INT((M18/100)*'路线'!B11+N18*'路线'!B29+O16*'路线'!B15+O18+20),INT((M18/100)*'路线'!B11+N18*'路线'!B29+O16*'路线'!B15+O18)))</f>
      </c>
      <c r="Q16" s="5">
        <f>IF(M16=-1,0,IF('路线'!C6="计算",INT((M18/100)*'路线'!B12+N18*'路线'!B29+O16*'路线'!B18+O18+20),INT((M18/100)*'路线'!B12+N18*'路线'!B29+O16*'路线'!B18+O18)))</f>
      </c>
      <c r="R16" s="6">
        <f>IF(M16=-1,0,IF('路线'!C6="计算",INT((M18/100)*'路线'!B13+N18*'路线'!B29+O16*'路线'!B21+O18+20),INT((M18/100)*'路线'!B13+N18*'路线'!B29+O16*'路线'!B21+O18)))</f>
      </c>
      <c r="S16" t="str"/>
      <c r="T16" t="str"/>
      <c r="W16" s="7">
        <v>4</v>
      </c>
      <c r="X16" t="str"/>
      <c r="Y16">
        <f>IF(W16=-1,0,IF(W16&lt;=3,'词条'!C13,'词条'!D13))</f>
      </c>
      <c r="Z16" s="8">
        <f>IF(W16=-1,0,INT(W18+X18*'路线'!B15+Y16*'路线'!B24+Y18))</f>
      </c>
      <c r="AA16" s="5">
        <f>IF(W16=-1,0,INT(W18+X18*'路线'!B18+Y16*'路线'!B24+Y18))</f>
      </c>
      <c r="AB16" s="6">
        <f>IF(W16=-1,0,INT(W18+X18*'路线'!B21+Y16*'路线'!B24+Y18))</f>
      </c>
      <c r="AC16" t="str"/>
      <c r="AD16" t="str"/>
      <c r="AG16" s="7">
        <v>4</v>
      </c>
      <c r="AH16" t="str"/>
      <c r="AI16">
        <f>IF(AG16=-1,0,IF(AG16&lt;=3,'词条'!I8,'词条'!J8))</f>
      </c>
      <c r="AJ16" s="5">
        <f>IF(AG16=-1,0,INT(AG18+AH18*'路线'!B30+AI16*'路线'!B16+AI18))</f>
      </c>
      <c r="AK16" s="5">
        <f>IF(AG16=-1,0,INT(AG18+AH18*'路线'!B30+AI16*'路线'!B19+AI18))</f>
      </c>
      <c r="AL16" s="5">
        <f>IF(AG16=-1,0,INT(AG18+AH18*'路线'!B30+AI16*'路线'!B22+AI18))</f>
      </c>
      <c r="AM16" s="2">
        <f>AJ16+AM15</f>
      </c>
      <c r="AN16" s="1" t="str"/>
      <c r="AQ16" s="7">
        <v>4</v>
      </c>
      <c r="AR16" t="str"/>
      <c r="AS16">
        <f>IF(AQ16=-1,0,IF(AQ16&lt;=3,'词条'!I7,'词条'!J7))</f>
      </c>
      <c r="AT16" s="5">
        <f>IF(AQ16=-1,0,INT((AQ18/100)*'路线'!B11+AR18+AS16*'路线'!B15+AS18))</f>
      </c>
      <c r="AU16" s="5">
        <f>IF(AQ16=-1,0,INT((AQ18/100)*'路线'!B12+AR18+AS16*'路线'!B18+AS18))</f>
      </c>
      <c r="AV16" s="5">
        <f>IF(AQ16=-1,0,INT((AQ18/100)*'路线'!B13+AR18+AS16*'路线'!B21+AS18))</f>
      </c>
      <c r="AW16" s="1" t="str"/>
      <c r="AX16" s="1" t="str"/>
      <c r="BA16" s="7">
        <v>4</v>
      </c>
      <c r="BB16" t="str"/>
      <c r="BC16">
        <f>IF(BA16=-1,0,IF(BA16&lt;=3,'词条'!I8,'词条'!J8))</f>
      </c>
      <c r="BD16" s="5">
        <f>IF(BA16=-1,0,INT((BA18/100)*'路线'!B11+BB18*'路线'!B30+BC16*'路线'!B16+BC18))</f>
      </c>
      <c r="BE16" s="5">
        <f>IF(BA16=-1,0,INT((BA18/100)*'路线'!B12+BB18*'路线'!B30+BC16*'路线'!B19+BC18))</f>
      </c>
      <c r="BF16" s="9">
        <f>IF(BA16=-1,0,INT((BA18/100)*'路线'!B13+BB18*'路线'!B30+BC16*'路线'!B22+BC18))</f>
      </c>
      <c r="BG16" s="2">
        <f>BD16+BG15</f>
      </c>
      <c r="BH16" s="1" t="str"/>
    </row>
    <row customHeight="true" ht="16" r="17">
      <c r="C17" t="str">
        <v>基础值</v>
      </c>
      <c r="D17" t="str">
        <v>sp训练</v>
      </c>
      <c r="E17" t="str">
        <v>事件</v>
      </c>
      <c r="F17" s="14" t="str">
        <v>SP</v>
      </c>
      <c r="I17" t="str"/>
      <c r="J17" t="str"/>
      <c r="M17" t="str">
        <v>百分比</v>
      </c>
      <c r="N17" t="str">
        <v>m强化</v>
      </c>
      <c r="O17" t="str">
        <v>事件</v>
      </c>
      <c r="P17" s="13" t="str"/>
      <c r="S17" t="str"/>
      <c r="T17" t="str"/>
      <c r="W17" t="str">
        <v>基础值</v>
      </c>
      <c r="X17" t="str">
        <v>sp训练</v>
      </c>
      <c r="Y17" t="str">
        <v>事件</v>
      </c>
      <c r="Z17" s="14" t="str">
        <v>SP</v>
      </c>
      <c r="AC17" t="str"/>
      <c r="AD17" t="str"/>
      <c r="AG17" t="str">
        <v>基础值</v>
      </c>
      <c r="AH17" t="str">
        <v>营业</v>
      </c>
      <c r="AI17" t="str">
        <v>事件</v>
      </c>
      <c r="AJ17" s="13" t="str"/>
      <c r="AM17" s="2">
        <f>AK16+AM15</f>
      </c>
      <c r="AN17" s="1" t="str"/>
      <c r="AQ17" t="str">
        <v>百分比</v>
      </c>
      <c r="AR17" t="str">
        <v>试验终了</v>
      </c>
      <c r="AS17" t="str">
        <v>事件</v>
      </c>
      <c r="AT17" s="14" t="str">
        <v>SP</v>
      </c>
      <c r="AW17" s="1" t="str"/>
      <c r="AX17" s="1" t="str"/>
      <c r="BA17" t="str">
        <v>百分比</v>
      </c>
      <c r="BB17" t="str">
        <v>营业</v>
      </c>
      <c r="BC17" t="str">
        <v>事件</v>
      </c>
      <c r="BD17" s="13" t="str"/>
      <c r="BG17" s="2">
        <f>BE16+BG15</f>
      </c>
      <c r="BH17" s="1" t="str"/>
    </row>
    <row customHeight="true" ht="16" r="18">
      <c r="C18">
        <f>IF(C16=-1,0,INDEX('词条'!C3:G3,C16+1))</f>
      </c>
      <c r="D18">
        <f>IF(C16=-1,0,IF(C16&lt;=2,'词条'!C7,'词条'!D7))</f>
      </c>
      <c r="E18">
        <f>IF(C16=-1,0,CHOOSE(C16+1,'词条'!C2,'词条'!D2,'词条'!D2,'词条'!D2,'词条'!E2))</f>
      </c>
      <c r="F18" s="11" t="str">
        <v>通用</v>
      </c>
      <c r="I18" t="str"/>
      <c r="J18" t="str"/>
      <c r="M18">
        <f>IF(M16=-1,0,INDEX('词条'!C4:G4,M16+1))</f>
      </c>
      <c r="N18">
        <f>IF(M16=-1,0,IF(M16&lt;=2,'词条'!F10,'词条'!G10))</f>
      </c>
      <c r="O18">
        <f>IF(M16=-1,0,CHOOSE(M16+1,'词条'!C2,'词条'!D2,'词条'!D2,'词条'!D2,'词条'!E2))</f>
      </c>
      <c r="P18" s="12" t="str">
        <v>理性</v>
      </c>
      <c r="S18" t="str"/>
      <c r="T18" t="str"/>
      <c r="W18">
        <f>IF(W16=-1,0,INDEX('词条'!C3:G3,W16+1))</f>
      </c>
      <c r="X18">
        <f>IF(W16=-1,0,IF(W16&lt;=2,'词条'!C7,'词条'!D7))</f>
      </c>
      <c r="Y18">
        <f>IF(W16=-1,0,CHOOSE(W16+1,'词条'!C2,'词条'!D2,'词条'!D2,'词条'!D2,'词条'!E2))</f>
      </c>
      <c r="Z18" s="11" t="str">
        <v>通用</v>
      </c>
      <c r="AC18" t="str"/>
      <c r="AD18" t="str"/>
      <c r="AG18">
        <f>IF(AG16=-1,0,INDEX('词条'!I3:M3,AG16+1))</f>
      </c>
      <c r="AH18">
        <f>IF(AG16=-1,0,IF(AG16&lt;=2,'词条'!I16,'词条'!J16))</f>
      </c>
      <c r="AI18">
        <f>IF(AG16=-1,0,CHOOSE(AG16+1,'词条'!I2,'词条'!I2,'词条'!J2,'词条'!J2,'词条'!K2))</f>
      </c>
      <c r="AJ18" s="11" t="str">
        <v>通用</v>
      </c>
      <c r="AM18" s="2">
        <f>AL16+AM15</f>
      </c>
      <c r="AN18" s="1" t="str"/>
      <c r="AQ18">
        <f>IF(AQ16=-1,0,INDEX('词条'!I4:M4,AQ16+1))</f>
      </c>
      <c r="AR18">
        <f>IF(AQ16=-1,0,IF(AQ16&lt;=2,'词条'!I19,'词条'!J19))</f>
      </c>
      <c r="AS18">
        <f>IF(AQ16=-1,0,CHOOSE(AQ16+1,'词条'!I2,'词条'!I2,'词条'!J2,'词条'!J2,'词条'!K2))</f>
      </c>
      <c r="AT18" s="11" t="str">
        <v>通用</v>
      </c>
      <c r="AW18" s="1" t="str"/>
      <c r="AX18" s="1" t="str"/>
      <c r="BA18">
        <f>IF(BA16=-1,0,INDEX('词条'!I4:M4,BA16+1))</f>
      </c>
      <c r="BB18">
        <f>IF(BA16=-1,0,IF(BA16&lt;=2,'词条'!I16,'词条'!J16))</f>
      </c>
      <c r="BC18">
        <f>IF(BA16=-1,0,CHOOSE(BA16+1,'词条'!I2,'词条'!I2,'词条'!J2,'词条'!J2,'词条'!K2))</f>
      </c>
      <c r="BD18" s="11" t="str">
        <v>通用</v>
      </c>
      <c r="BG18" s="2">
        <f>BF16+BG15</f>
      </c>
      <c r="BH18" s="1" t="str"/>
    </row>
    <row customHeight="true" ht="16" r="19">
      <c r="A19" t="str"/>
      <c r="B19" t="str"/>
      <c r="C19" t="str"/>
      <c r="D19" t="str"/>
      <c r="E19" t="str"/>
      <c r="F19" t="str"/>
      <c r="G19" t="str"/>
      <c r="H19" t="str"/>
      <c r="I19" t="str"/>
      <c r="J19" t="str"/>
      <c r="K19" t="str"/>
      <c r="L19" t="str"/>
      <c r="M19" t="str"/>
      <c r="N19" t="str"/>
      <c r="O19" t="str"/>
      <c r="P19" t="str"/>
      <c r="Q19" t="str"/>
      <c r="R19" t="str"/>
      <c r="S19" t="str"/>
      <c r="T19" t="str"/>
      <c r="U19" t="str"/>
      <c r="V19" t="str"/>
      <c r="W19" t="str"/>
      <c r="X19" t="str"/>
      <c r="Y19" t="str"/>
      <c r="Z19" t="str"/>
      <c r="AA19" t="str"/>
      <c r="AB19" s="1" t="str"/>
      <c r="AC19" s="1" t="str"/>
      <c r="AD19" s="1" t="str"/>
      <c r="AE19" s="1" t="str"/>
      <c r="AF19" s="1" t="str"/>
      <c r="AG19" s="1" t="str"/>
      <c r="AH19" s="1" t="str"/>
      <c r="AI19" s="1" t="str"/>
      <c r="AJ19" s="1" t="str"/>
      <c r="AK19" s="1" t="str"/>
      <c r="AL19" s="1" t="str"/>
      <c r="AM19" s="1" t="str"/>
      <c r="AN19" s="1" t="str"/>
      <c r="AO19" s="1" t="str"/>
      <c r="AP19" s="1" t="str"/>
      <c r="AQ19" s="1" t="str"/>
      <c r="AR19" s="1" t="str"/>
      <c r="AS19" s="1" t="str"/>
      <c r="AT19" s="1" t="str"/>
      <c r="AU19" s="1" t="str"/>
      <c r="AV19" s="1" t="str"/>
      <c r="AW19" s="1" t="str"/>
      <c r="AX19" s="1" t="str"/>
      <c r="AY19" s="1" t="str"/>
      <c r="AZ19" s="1" t="str"/>
      <c r="BA19" s="1" t="str"/>
      <c r="BB19" s="1" t="str"/>
      <c r="BC19" s="1" t="str"/>
      <c r="BD19" s="1" t="str"/>
      <c r="BE19" s="1" t="str"/>
      <c r="BF19" s="1" t="str"/>
      <c r="BG19" s="1" t="str"/>
      <c r="BH19" s="1" t="str"/>
    </row>
    <row customHeight="true" ht="16" r="20">
      <c r="A20" t="str">
        <v>次の桜の季節には。（花荫）</v>
      </c>
      <c r="H20" t="str"/>
      <c r="I20" t="str"/>
      <c r="J20" t="str"/>
      <c r="K20" t="str">
        <v>おいしい顔、いただき～！（蓝拍照）</v>
      </c>
      <c r="R20" t="str"/>
      <c r="S20" t="str"/>
      <c r="T20" t="str"/>
      <c r="U20" t="str">
        <v>お疲れ様、千奈ちゃん。（辛苦了千奈）</v>
      </c>
      <c r="AB20" s="1" t="str"/>
      <c r="AC20" s="1" t="str"/>
      <c r="AD20" s="1" t="str"/>
      <c r="AE20" s="1" t="str">
        <v>のらりくらりしっかり</v>
      </c>
      <c r="AL20" s="1" t="str"/>
      <c r="AM20" s="1" t="str"/>
      <c r="AN20" s="1" t="str"/>
      <c r="AO20" s="1" t="str">
        <v>魅惑の大腿四頭筋</v>
      </c>
      <c r="AV20" s="1" t="str"/>
      <c r="AW20" s="1" t="str"/>
      <c r="AX20" s="1" t="str"/>
      <c r="AY20" s="1" t="str">
        <v>てとりあしとり</v>
      </c>
      <c r="BF20" s="1" t="str"/>
      <c r="BG20" s="1" t="str"/>
      <c r="BH20" s="1" t="str"/>
    </row>
    <row customHeight="true" ht="63" r="21">
      <c r="A21" s="13"/>
      <c r="C21" t="str">
        <v>破数</v>
      </c>
      <c r="D21" t="str"/>
      <c r="E21" t="str">
        <v>强化</v>
      </c>
      <c r="F21" s="8" t="str">
        <v>第一属性</v>
      </c>
      <c r="G21" s="5" t="str">
        <v>第二属性</v>
      </c>
      <c r="H21" s="6" t="str">
        <v>第三属性</v>
      </c>
      <c r="I21" t="str"/>
      <c r="J21" t="str"/>
      <c r="K21" s="13"/>
      <c r="M21" t="str">
        <v>破数</v>
      </c>
      <c r="N21" t="str"/>
      <c r="O21" t="str">
        <v>强化</v>
      </c>
      <c r="P21" s="8" t="str">
        <v>第一属性</v>
      </c>
      <c r="Q21" s="5" t="str">
        <v>第二属性</v>
      </c>
      <c r="R21" s="6" t="str">
        <v>第三属性</v>
      </c>
      <c r="S21" t="str"/>
      <c r="T21" t="str"/>
      <c r="U21" s="13"/>
      <c r="W21" t="str">
        <v>破数</v>
      </c>
      <c r="X21" t="str"/>
      <c r="Y21" t="str">
        <v>抓a卡</v>
      </c>
      <c r="Z21" s="8" t="str">
        <v>第一属性</v>
      </c>
      <c r="AA21" s="5" t="str">
        <v>第二属性</v>
      </c>
      <c r="AB21" s="6" t="str">
        <v>第三属性</v>
      </c>
      <c r="AC21" t="str"/>
      <c r="AD21" t="str"/>
      <c r="AG21" t="str">
        <v>破数</v>
      </c>
      <c r="AH21" t="str"/>
      <c r="AI21" t="str">
        <v>训练</v>
      </c>
      <c r="AJ21" s="8" t="str">
        <v>第一属性</v>
      </c>
      <c r="AK21" s="5" t="str">
        <v>第二属性</v>
      </c>
      <c r="AL21" s="6" t="str">
        <v>第三属性</v>
      </c>
      <c r="AM21" t="str"/>
      <c r="AN21" s="1" t="str"/>
      <c r="AO21" s="1"/>
      <c r="AQ21" t="str">
        <v>破数</v>
      </c>
      <c r="AR21" t="str"/>
      <c r="AS21" t="str">
        <v>训练</v>
      </c>
      <c r="AT21" s="8" t="str">
        <v>第一属性</v>
      </c>
      <c r="AU21" s="5" t="str">
        <v>第二属性</v>
      </c>
      <c r="AV21" s="6" t="str">
        <v>第三属性</v>
      </c>
      <c r="AW21" s="1" t="str"/>
      <c r="AX21" s="1" t="str"/>
      <c r="AY21" s="1"/>
      <c r="BA21" t="str">
        <v>破数</v>
      </c>
      <c r="BB21" t="str"/>
      <c r="BC21" t="str">
        <v>训练</v>
      </c>
      <c r="BD21" s="8" t="str">
        <v>第一属性</v>
      </c>
      <c r="BE21" s="9" t="str">
        <v>第二属性</v>
      </c>
      <c r="BF21" s="6" t="str">
        <v>第三属性</v>
      </c>
      <c r="BG21" s="1" t="str"/>
      <c r="BH21" s="1" t="str"/>
    </row>
    <row customHeight="true" ht="16" r="22">
      <c r="C22" s="7">
        <v>4</v>
      </c>
      <c r="D22" t="str"/>
      <c r="E22">
        <f>IF(C22=-1,0,IF(C22&lt;=3,'词条'!C9,'词条'!D9))</f>
      </c>
      <c r="F22" s="8">
        <f>IF(C22=-1,0,IF('路线'!C6="计算",INT((C24/100)*'路线'!B11+D24*'路线'!B14+E22*('路线'!B28+'路线'!B29)+E24+20),INT((C24/100)*'路线'!B11+D24*'路线'!B14+E22*('路线'!B28+'路线'!B29)+E24)))</f>
      </c>
      <c r="G22" s="5">
        <f>IF(C22=-1,0,IF('路线'!C6="计算",INT((C24/100)*'路线'!B12+D24*'路线'!B17+E22*('路线'!B28+'路线'!B29)+E24+20),INT((C24/100)*'路线'!B12+D24*'路线'!B17+E22*('路线'!B28+'路线'!B29)+E24)))</f>
      </c>
      <c r="H22" s="6">
        <f>IF(C22=-1,0,IF('路线'!C6="计算",INT((C24/100)*'路线'!B13+D24*'路线'!B20+E22*('路线'!B28+'路线'!B29)+E24+20),INT((C24/100)*'路线'!B13+D24*'路线'!B20+E22*('路线'!B28+'路线'!B29)+E24)))</f>
      </c>
      <c r="I22" t="str"/>
      <c r="J22" t="str"/>
      <c r="M22" s="7">
        <v>4</v>
      </c>
      <c r="N22" t="str"/>
      <c r="O22">
        <f>IF(M22=-1,0,IF(M22&lt;=3,'词条'!C9,'词条'!D9))</f>
      </c>
      <c r="P22" s="8">
        <f>IF(M22=-1,0,IF('路线'!C6="计算",INT(M24+N24*'路线'!B15+O22*('路线'!B28+'路线'!B29)+O24+20),INT(M24+N24*'路线'!B15+O22*('路线'!B28+'路线'!B29)+O24)))</f>
      </c>
      <c r="Q22" s="5">
        <f>IF(M22=-1,0,IF('路线'!C6="计算",INT(M24+N24*'路线'!B18+O22*('路线'!B28+'路线'!B29)+O24+20),INT(M24+N24*'路线'!B18+O22*('路线'!B28+'路线'!B29)+O24)))</f>
      </c>
      <c r="R22" s="6">
        <f>IF(M22=-1,0,IF('路线'!C6="计算",INT(M24+N24*'路线'!B21+O22*('路线'!B28+'路线'!B29)+O24+20),INT(M24+N24*'路线'!B21+O22*('路线'!B28+'路线'!B29)+O24)))</f>
      </c>
      <c r="S22" t="str"/>
      <c r="T22" t="str"/>
      <c r="W22" s="7">
        <v>4</v>
      </c>
      <c r="X22" t="str"/>
      <c r="Y22">
        <f>IF(W22=-1,0,IF(W22&lt;=3,'词条'!C14,'词条'!D14))</f>
      </c>
      <c r="Z22" s="8">
        <f>IF(W22=-1,0,IF('路线'!C6="计算",INT((W24/100)*'路线'!B11+X24*'路线'!B14+Y22*'路线'!B23+Y24+20),INT((W24/100)*'路线'!B11+X24*'路线'!B14+Y22*'路线'!B23+Y24)))</f>
      </c>
      <c r="AA22" s="5">
        <f>IF(W22=-1,0,IF('路线'!C6="计算",INT((W24/100)*'路线'!B12+X24*'路线'!B17+Y22*'路线'!B23+Y24+20),INT((W24/100)*'路线'!B12+X24*'路线'!B17+Y22*'路线'!B23+Y24)))</f>
      </c>
      <c r="AB22" s="6">
        <f>IF(W22=-1,0,IF('路线'!C6="计算",INT((W24/100)*'路线'!B13+X24*'路线'!B20+Y22*'路线'!B23+Y24+20),INT((W24/100)*'路线'!B13+X24*'路线'!B20+Y22*'路线'!B23+Y24)))</f>
      </c>
      <c r="AC22" t="str"/>
      <c r="AD22" t="str"/>
      <c r="AG22" s="7">
        <v>4</v>
      </c>
      <c r="AH22" t="str"/>
      <c r="AI22">
        <f>IF(AG22=-1,0,IF(AG22&lt;=3,'词条'!I6,'词条'!J6))</f>
      </c>
      <c r="AJ22" s="5">
        <f>IF(AG22=-1,0,IF('路线'!C6="计算",INT((AG24/100)*'路线'!B11+AH24*'路线'!B34+AI22*'路线'!B14+AI24+20),INT((AG24/100)*'路线'!B11+AH24*'路线'!B34+AI22*'路线'!B14+AI24)))</f>
      </c>
      <c r="AK22" s="5">
        <f>IF(AG22=-1,0,IF('路线'!C6="计算",INT((AG24/100)*'路线'!B12+AH24*'路线'!B34+AI22*'路线'!B17+AI24+20),INT((AG24/100)*'路线'!B12+AH24*'路线'!B34+AI22*'路线'!B17+AI24)))</f>
      </c>
      <c r="AL22" s="5">
        <f>IF(AG22=-1,0,IF('路线'!C6="计算",INT((AG24/100)*'路线'!B13+AH24*'路线'!B34+AI22*'路线'!B20+AI24+20),INT((AG24/100)*'路线'!B13+AH24*'路线'!B34+AI22*'路线'!B20+AI24)))</f>
      </c>
      <c r="AM22" t="str"/>
      <c r="AN22" s="1" t="str"/>
      <c r="AQ22" s="7">
        <v>4</v>
      </c>
      <c r="AR22" t="str"/>
      <c r="AS22">
        <f>IF(AQ22=-1,0,IF(AQ22&lt;=3,'词条'!I6,'词条'!J6))</f>
      </c>
      <c r="AT22" s="5">
        <f>IF(AQ22=-1,0,IF('路线'!C6="计算",INT((AQ24/100)*'路线'!B11+AR24*'路线'!B34+AS22*'路线'!B14+AS24+20),INT((AQ24/100)*'路线'!B11+AR24*'路线'!B34+AS22*'路线'!B14+AS24)))</f>
      </c>
      <c r="AU22" s="5">
        <f>IF(AQ22=-1,0,IF('路线'!C6="计算",INT((AQ24/100)*'路线'!B12+AR24*'路线'!B34+AS22*'路线'!B17+AS24+20),INT((AQ24/100)*'路线'!B12+AR24*'路线'!B34+AS22*'路线'!B17+AS24)))</f>
      </c>
      <c r="AV22" s="9">
        <f>IF(AQ22=-1,0,IF('路线'!C6="计算",INT((AQ24/100)*'路线'!B13+AR24*'路线'!B34+AS22*'路线'!B20+AS24+20),INT((AQ24/100)*'路线'!B13+AR24*'路线'!B34+AS22*'路线'!B20+AS24)))</f>
      </c>
      <c r="AW22" s="1" t="str"/>
      <c r="AX22" s="1" t="str"/>
      <c r="BA22" s="7">
        <v>4</v>
      </c>
      <c r="BB22" t="str"/>
      <c r="BC22">
        <f>IF(BA22=-1,0,IF(BA22&lt;=3,'词条'!I6,'词条'!J6))</f>
      </c>
      <c r="BD22" s="5">
        <f>IF(BA22=-1,0,IF('路线'!C6="计算",INT(BA24+BB24*'路线'!B34+BC22*'路线'!B14+BC24+20),INT(BA24+BB24*'路线'!B34+BC22*'路线'!B14+BC24)))</f>
      </c>
      <c r="BE22" s="5">
        <f>IF(BA22=-1,0,IF('路线'!C6="计算",INT(BA24+BB24*'路线'!B34+BC22*'路线'!B17+BC24+20),INT(BA24+BB24*'路线'!B34+BC22*'路线'!B17+BC24)))</f>
      </c>
      <c r="BF22" s="9">
        <f>IF(BA22=-1,0,IF('路线'!C6="计算",INT(BA24+BB24*'路线'!B34+BC22*'路线'!B20+BC24+20),INT(BA24+BB24*'路线'!B34+BC22*'路线'!B20+BC24)))</f>
      </c>
      <c r="BG22" s="1" t="str"/>
      <c r="BH22" s="1" t="str"/>
    </row>
    <row customHeight="true" ht="16" r="23">
      <c r="C23" t="str">
        <v>百分比</v>
      </c>
      <c r="D23" t="str">
        <v>训练</v>
      </c>
      <c r="E23" t="str">
        <v>事件</v>
      </c>
      <c r="F23" s="13" t="str"/>
      <c r="I23" t="str"/>
      <c r="J23" t="str"/>
      <c r="M23" t="str">
        <v>基础值</v>
      </c>
      <c r="N23" t="str">
        <v>sp训练</v>
      </c>
      <c r="O23" t="str">
        <v>事件</v>
      </c>
      <c r="P23" s="14" t="str">
        <v>SP</v>
      </c>
      <c r="S23" t="str"/>
      <c r="T23" t="str"/>
      <c r="W23" t="str">
        <v>百分比</v>
      </c>
      <c r="X23" t="str">
        <v>训练</v>
      </c>
      <c r="Y23" t="str">
        <v>事件</v>
      </c>
      <c r="Z23" s="13" t="str"/>
      <c r="AC23" t="str"/>
      <c r="AD23" t="str"/>
      <c r="AG23" t="str">
        <v>百分比</v>
      </c>
      <c r="AH23" t="str">
        <v>支给</v>
      </c>
      <c r="AI23" t="str">
        <v>事件</v>
      </c>
      <c r="AJ23" s="13" t="str"/>
      <c r="AM23" t="str"/>
      <c r="AN23" s="1" t="str"/>
      <c r="AQ23" t="str">
        <v>百分比</v>
      </c>
      <c r="AR23" t="str">
        <v>支给</v>
      </c>
      <c r="AS23" t="str">
        <v>事件</v>
      </c>
      <c r="AT23" s="13" t="str"/>
      <c r="AW23" s="1" t="str"/>
      <c r="AX23" s="1" t="str"/>
      <c r="BA23" t="str">
        <v>基础值</v>
      </c>
      <c r="BB23" t="str">
        <v>支给</v>
      </c>
      <c r="BC23" t="str">
        <v>事件</v>
      </c>
      <c r="BD23" s="13" t="str"/>
      <c r="BG23" s="1" t="str"/>
      <c r="BH23" s="1" t="str"/>
    </row>
    <row customHeight="true" ht="16" r="24">
      <c r="C24">
        <f>IF(C22=-1,0,INDEX('词条'!C4:G4,C22+1))</f>
      </c>
      <c r="D24">
        <f>IF(C22=-1,0,IF(C22&lt;=2,'词条'!C6,'词条'!D6))</f>
      </c>
      <c r="E24">
        <f>IF(C22=-1,0,CHOOSE(C22+1,'词条'!C2,'词条'!D2,'词条'!D2,'词条'!D2,'词条'!E2))</f>
      </c>
      <c r="F24" s="11" t="str">
        <v>通用</v>
      </c>
      <c r="I24" t="str"/>
      <c r="J24" t="str"/>
      <c r="M24">
        <f>IF(M22=-1,0,INDEX('词条'!C3:G3,M22+1))</f>
      </c>
      <c r="N24">
        <f>IF(M22=-1,0,IF(M22&lt;=2,'词条'!C7,'词条'!D7))</f>
      </c>
      <c r="O24">
        <f>IF(M22=-1,0,CHOOSE(M22+1,'词条'!C2,'词条'!D2,'词条'!D2,'词条'!D2,'词条'!E2))</f>
      </c>
      <c r="P24" s="11" t="str">
        <v>通用</v>
      </c>
      <c r="S24" t="str"/>
      <c r="T24" t="str"/>
      <c r="W24">
        <f>IF(W22=-1,0,INDEX('词条'!C4:G4,W22+1))</f>
      </c>
      <c r="X24">
        <f>IF(W22=-1,0,IF(W22&lt;=2,'词条'!C6,'词条'!D6))</f>
      </c>
      <c r="Y24">
        <f>IF(W22=-1,0,CHOOSE(W22+1,'词条'!C2,'词条'!D2,'词条'!D2,'词条'!D2,'词条'!E2))</f>
      </c>
      <c r="Z24" s="11" t="str">
        <v>通用</v>
      </c>
      <c r="AC24" t="str"/>
      <c r="AD24" t="str"/>
      <c r="AG24">
        <f>IF(AG22=-1,0,INDEX('词条'!I4:M4,AG22+1))</f>
      </c>
      <c r="AH24">
        <f>IF(AG22=-1,0,IF(AG22&lt;=2,'词条'!I12,'词条'!J12))</f>
      </c>
      <c r="AI24">
        <f>IF(AG22=-1,0,CHOOSE(AG22+1,'词条'!I2,'词条'!I2,'词条'!J2,'词条'!J2,'词条'!K2))</f>
      </c>
      <c r="AJ24" s="11" t="str">
        <v>通用</v>
      </c>
      <c r="AM24" t="str"/>
      <c r="AN24" s="1" t="str"/>
      <c r="AQ24">
        <f>IF(AQ22=-1,0,INDEX('词条'!I4:M4,AQ22+1))</f>
      </c>
      <c r="AR24">
        <f>IF(AQ22=-1,0,IF(AQ22&lt;=2,'词条'!I12,'词条'!J12))</f>
      </c>
      <c r="AS24">
        <f>IF(AQ22=-1,0,CHOOSE(AQ22+1,'词条'!I2,'词条'!I2,'词条'!J2,'词条'!J2,'词条'!K2))</f>
      </c>
      <c r="AT24" s="11" t="str">
        <v>通用</v>
      </c>
      <c r="AW24" s="1" t="str"/>
      <c r="AX24" s="1" t="str"/>
      <c r="BA24">
        <f>IF(BA22=-1,0,INDEX('词条'!I3:M3,BA22+1))</f>
      </c>
      <c r="BB24">
        <f>IF(BA22=-1,0,IF(BA22&lt;=2,'词条'!I12,'词条'!J12))</f>
      </c>
      <c r="BC24">
        <f>IF(BA22=-1,0,CHOOSE(BA22+1,'词条'!I2,'词条'!I2,'词条'!J2,'词条'!J2,'词条'!K2))</f>
      </c>
      <c r="BD24" s="11" t="str">
        <v>通用</v>
      </c>
      <c r="BG24" s="1" t="str"/>
      <c r="BH24" s="1" t="str"/>
    </row>
    <row customHeight="true" ht="16" r="25">
      <c r="A25" s="1" t="str"/>
      <c r="B25" s="1" t="str"/>
      <c r="C25" s="1" t="str"/>
      <c r="D25" s="1" t="str"/>
      <c r="E25" s="1" t="str"/>
      <c r="F25" s="1" t="str"/>
      <c r="G25" s="1" t="str"/>
      <c r="H25" s="1" t="str"/>
      <c r="I25" s="1" t="str"/>
      <c r="J25" s="1" t="str"/>
      <c r="K25" s="1" t="str"/>
      <c r="L25" s="1" t="str"/>
      <c r="M25" s="1" t="str"/>
      <c r="N25" s="1" t="str"/>
      <c r="O25" s="1" t="str"/>
      <c r="P25" s="1" t="str"/>
      <c r="Q25" s="1" t="str"/>
      <c r="R25" s="1" t="str"/>
      <c r="S25" s="1" t="str"/>
      <c r="T25" s="1" t="str"/>
      <c r="U25" s="1" t="str"/>
      <c r="V25" s="1" t="str"/>
      <c r="W25" s="1" t="str"/>
      <c r="X25" s="1" t="str"/>
      <c r="Y25" s="1" t="str"/>
      <c r="Z25" s="1" t="str"/>
      <c r="AA25" s="1" t="str"/>
      <c r="AB25" s="1" t="str"/>
      <c r="AC25" s="1" t="str"/>
      <c r="AD25" s="1" t="str"/>
      <c r="AE25" s="1" t="str"/>
      <c r="AF25" s="1" t="str"/>
      <c r="AG25" s="1" t="str"/>
      <c r="AH25" s="1" t="str"/>
      <c r="AI25" s="1" t="str"/>
      <c r="AJ25" s="1" t="str"/>
      <c r="AK25" s="1" t="str"/>
      <c r="AL25" s="1" t="str"/>
      <c r="AM25" s="1" t="str"/>
      <c r="AN25" s="1" t="str"/>
      <c r="AO25" s="1" t="str"/>
      <c r="AP25" s="1" t="str"/>
      <c r="AQ25" s="1" t="str"/>
      <c r="AR25" s="1" t="str"/>
      <c r="AS25" s="1" t="str"/>
      <c r="AT25" s="1" t="str"/>
      <c r="AU25" s="1" t="str"/>
      <c r="AV25" s="1" t="str"/>
      <c r="AW25" s="1" t="str"/>
      <c r="AX25" s="1" t="str"/>
      <c r="AY25" s="1" t="str"/>
      <c r="AZ25" s="1" t="str"/>
      <c r="BA25" s="1" t="str"/>
      <c r="BB25" s="1" t="str"/>
      <c r="BC25" s="1" t="str"/>
      <c r="BD25" s="1" t="str"/>
      <c r="BE25" s="1" t="str"/>
      <c r="BF25" s="1" t="str"/>
      <c r="BG25" s="1" t="str"/>
      <c r="BH25" s="1" t="str"/>
    </row>
    <row customHeight="true" ht="16" r="26">
      <c r="A26" s="3" t="str">
        <v>こいつらめんどくさー（红吵架）</v>
      </c>
      <c r="H26" s="1" t="str"/>
      <c r="I26" t="str"/>
      <c r="J26" t="str"/>
      <c r="K26" t="str">
        <v>ぐぬぬぬぬ…………！（蓝50）</v>
      </c>
      <c r="R26" t="str"/>
      <c r="S26" t="str"/>
      <c r="T26" t="str"/>
      <c r="U26" s="3" t="str">
        <v>お姉ちゃんに任せなさい！（黄发卡）</v>
      </c>
      <c r="AB26" t="str"/>
      <c r="AC26" t="str"/>
      <c r="AD26" t="str"/>
      <c r="AE26" t="str">
        <v>今はあえて、背を向けて（刺猬）</v>
      </c>
      <c r="AL26" s="1" t="str"/>
      <c r="AM26" s="1" t="str"/>
      <c r="AN26" s="1" t="str"/>
      <c r="AO26" t="str">
        <v>パシャっとキメポ（sr蓝睡）</v>
      </c>
      <c r="AV26" s="1" t="str"/>
      <c r="AW26" s="1" t="str"/>
      <c r="AX26" s="1" t="str"/>
      <c r="AY26" t="str">
        <v>体当たりのラブコール（过肩摔）</v>
      </c>
      <c r="BF26" s="1" t="str"/>
      <c r="BG26" s="1" t="str"/>
      <c r="BH26" s="1" t="str"/>
    </row>
    <row customHeight="true" ht="63" r="27">
      <c r="A27" s="13"/>
      <c r="C27" t="str">
        <v>破数</v>
      </c>
      <c r="D27" t="str"/>
      <c r="E27" t="str">
        <v>sp训练</v>
      </c>
      <c r="F27" s="8" t="str">
        <v>第一属性</v>
      </c>
      <c r="G27" s="5" t="str">
        <v>第二属性</v>
      </c>
      <c r="H27" s="6" t="str">
        <v>第三属性</v>
      </c>
      <c r="I27" t="str"/>
      <c r="J27" t="str"/>
      <c r="K27" s="13"/>
      <c r="M27" t="str">
        <v>破数</v>
      </c>
      <c r="N27" t="str"/>
      <c r="O27" t="str">
        <v>抓m卡</v>
      </c>
      <c r="P27" s="8" t="str">
        <v>第一属性</v>
      </c>
      <c r="Q27" s="5" t="str">
        <v>第二属性</v>
      </c>
      <c r="R27" s="6" t="str">
        <v>第三属性</v>
      </c>
      <c r="S27" t="str"/>
      <c r="T27" t="str"/>
      <c r="U27" s="13"/>
      <c r="W27" t="str">
        <v>破数</v>
      </c>
      <c r="X27" t="str"/>
      <c r="Y27" t="str">
        <v>强化</v>
      </c>
      <c r="Z27" s="8" t="str">
        <v>第一属性</v>
      </c>
      <c r="AA27" s="5" t="str">
        <v>第二属性</v>
      </c>
      <c r="AB27" s="6" t="str">
        <v>第三属性</v>
      </c>
      <c r="AC27" t="str"/>
      <c r="AD27" t="str"/>
      <c r="AE27" s="13"/>
      <c r="AG27" t="str">
        <v>破数</v>
      </c>
      <c r="AH27" t="str"/>
      <c r="AI27" t="str">
        <v>sp训练</v>
      </c>
      <c r="AJ27" s="8" t="str">
        <v>第一属性</v>
      </c>
      <c r="AK27" s="5" t="str">
        <v>第二属性</v>
      </c>
      <c r="AL27" s="6" t="str">
        <v>第三属性</v>
      </c>
      <c r="AM27" t="str"/>
      <c r="AN27" s="1" t="str"/>
      <c r="AQ27" t="str">
        <v>破数</v>
      </c>
      <c r="AR27" t="str"/>
      <c r="AS27" t="str">
        <v>训练</v>
      </c>
      <c r="AT27" s="8" t="str">
        <v>第一属性</v>
      </c>
      <c r="AU27" s="5" t="str">
        <v>第二属性</v>
      </c>
      <c r="AV27" s="6" t="str">
        <v>第三属性</v>
      </c>
      <c r="AW27" s="1" t="str"/>
      <c r="AX27" s="1" t="str"/>
      <c r="AY27" s="13"/>
      <c r="BA27" t="str">
        <v>破数</v>
      </c>
      <c r="BB27" t="str"/>
      <c r="BC27" t="str">
        <v>sp训练</v>
      </c>
      <c r="BD27" s="8" t="str">
        <v>第一属性</v>
      </c>
      <c r="BE27" s="9" t="str">
        <v>第二属性</v>
      </c>
      <c r="BF27" s="6" t="str">
        <v>第三属性</v>
      </c>
      <c r="BG27" s="1" t="str"/>
      <c r="BH27" s="1" t="str"/>
    </row>
    <row customHeight="true" ht="16" r="28">
      <c r="C28" s="7">
        <v>4</v>
      </c>
      <c r="D28" t="str"/>
      <c r="E28">
        <f>IF(C28=-1,0,IF(C28&lt;=3,'词条'!F7,'词条'!G7))</f>
      </c>
      <c r="F28" s="8">
        <f>IF(C28=-1,0,IF('路线'!C6="计算",INT((C30/100)*'路线'!B11+D30*'路线'!B29+E28*'路线'!B15+E30+20),INT((C30/100)*'路线'!B11+D30*'路线'!B29+E28*'路线'!B15+E30)))</f>
      </c>
      <c r="G28" s="5">
        <f>IF(C28=-1,0,IF('路线'!C6="计算",INT((C30/100)*'路线'!B12+D30*'路线'!B29+E28*'路线'!B18+E30+20),INT((C30/100)*'路线'!B12+D30*'路线'!B29+E28*'路线'!B18+E30)))</f>
      </c>
      <c r="H28" s="6">
        <f>IF(C28=-1,0,IF('路线'!C6="计算",INT((C30/100)*'路线'!B13+D30*'路线'!B29+E28*'路线'!B21+E30+20),INT((C30/100)*'路线'!B13+D30*'路线'!B29+E28*'路线'!B21+E30)))</f>
      </c>
      <c r="I28" t="str"/>
      <c r="J28" t="str"/>
      <c r="M28" s="7">
        <v>4</v>
      </c>
      <c r="N28" t="str"/>
      <c r="O28">
        <f>IF(M28=-1,0,IF(M28&lt;=3,'词条'!C13,'词条'!D13))</f>
      </c>
      <c r="P28" s="8">
        <f>IF(M28=-1,0,INT((M30/100)*'路线'!B11+N30*'路线'!B34+O28*'路线'!B24+O30))</f>
      </c>
      <c r="Q28" s="5">
        <f>IF(M28=-1,0,INT((M30/100)*'路线'!B12+N30*'路线'!B34+O28*'路线'!B24+O30))</f>
      </c>
      <c r="R28" s="6">
        <f>IF(M28=-1,0,INT((M30/100)*'路线'!B13+N30*'路线'!B34+O28*'路线'!B24+O30))</f>
      </c>
      <c r="S28" t="str"/>
      <c r="T28" t="str"/>
      <c r="W28" s="7">
        <v>4</v>
      </c>
      <c r="X28" t="str"/>
      <c r="Y28">
        <f>IF(W28=-1,0,IF(W28&lt;=3,'词条'!C9,'词条'!D9))</f>
      </c>
      <c r="Z28" s="8">
        <f>IF(W28=-1,0,INT((W30/100)*'路线'!B11+X30*'路线'!B15+Y28*('路线'!B28+'路线'!B29)+Y30))</f>
      </c>
      <c r="AA28" s="5">
        <f>IF(W28=-1,0,INT((W30/100)*'路线'!B12+X30*'路线'!B18+Y28*('路线'!B28+'路线'!B29)+Y30))</f>
      </c>
      <c r="AB28" s="6">
        <f>IF(W28=-1,0,INT((W30/100)*'路线'!B13+X30*'路线'!B21+Y28*('路线'!B28+'路线'!B29)+Y30))</f>
      </c>
      <c r="AC28" t="str"/>
      <c r="AD28" t="str"/>
      <c r="AG28" s="7">
        <v>4</v>
      </c>
      <c r="AH28" t="str"/>
      <c r="AI28">
        <f>IF(AG28=-1,0,IF(AG28&lt;=3,'词条'!I7,'词条'!J7))</f>
      </c>
      <c r="AJ28" s="5">
        <f>IF(AG28=-1,0,INT((AG30/100)*'路线'!B11+AH30+AI28*'路线'!B15+AI30))</f>
      </c>
      <c r="AK28" s="5">
        <f>IF(AG28=-1,0,INT((AG30/100)*'路线'!B12+AH30+AI28*'路线'!B18+AI30))</f>
      </c>
      <c r="AL28" s="5">
        <f>IF(AG28=-1,0,INT((AG30/100)*'路线'!B13+AH30+AI28*'路线'!B21+AI30))</f>
      </c>
      <c r="AM28" t="str"/>
      <c r="AN28" s="1" t="str"/>
      <c r="AQ28" s="7">
        <v>4</v>
      </c>
      <c r="AR28" t="str"/>
      <c r="AS28">
        <f>IF(AQ28=-1,0,IF(AQ28&lt;=3,'词条'!I6,'词条'!J6))</f>
      </c>
      <c r="AT28" s="5">
        <f>IF(AQ28=-1,0,IF('路线'!C6="计算",INT(AQ30+AR30*'路线'!B32+AS28*'路线'!B14+AS30+20),INT(AQ30+AR30*'路线'!B32+AS28*'路线'!B14+AS30)))</f>
      </c>
      <c r="AU28" s="5">
        <f>IF(AQ28=-1,0,IF('路线'!C6="计算",INT(AQ30+AR30*'路线'!B32+AS28*'路线'!B17+AS30+20),INT(AQ30+AR30*'路线'!B32+AS28*'路线'!B17+AS30)))</f>
      </c>
      <c r="AV28" s="9">
        <f>IF(AQ28=-1,0,IF('路线'!C6="计算",INT(AQ30+AR30*'路线'!B32+AS28*'路线'!B20+AS30+20),INT(AQ30+AR30*'路线'!B32+AS28*'路线'!B20+AS30)))</f>
      </c>
      <c r="AW28" s="1" t="str"/>
      <c r="AX28" s="1" t="str"/>
      <c r="BA28" s="7">
        <v>4</v>
      </c>
      <c r="BB28" t="str"/>
      <c r="BC28">
        <f>IF(BA28=-1,0,IF(BA28&lt;=3,'词条'!I7,'词条'!J7))</f>
      </c>
      <c r="BD28" s="5">
        <f>IF(BA28=-1,0,IF('路线'!C6="计算",INT((BA30/100)*'路线'!B11+BB30+BC28*'路线'!B15+BC30+20),INT((BA30/100)*'路线'!B11+BB30+BC28*'路线'!B15+BC30)))</f>
      </c>
      <c r="BE28" s="5">
        <f>IF(BA28=-1,0,IF('路线'!C6="计算",INT((BA30/100)*'路线'!B12+BB30+BC28*'路线'!B18+BC30+20),INT((BA30/100)*'路线'!B12+BB30+BC28*'路线'!B18+BC30)))</f>
      </c>
      <c r="BF28" s="9">
        <f>IF(BA28=-1,0,IF('路线'!C6="计算",INT((BA30/100)*'路线'!B13+BB30+BC28*'路线'!B21+BC30+20),INT((BA30/100)*'路线'!B13+BB30+BC28*'路线'!B21+BC30)))</f>
      </c>
      <c r="BG28" s="1" t="str"/>
      <c r="BH28" s="1" t="str"/>
    </row>
    <row customHeight="true" ht="16" r="29">
      <c r="C29" t="str">
        <v>百分比</v>
      </c>
      <c r="D29" t="str">
        <v>m强化</v>
      </c>
      <c r="E29" t="str">
        <v>事件</v>
      </c>
      <c r="F29" s="13" t="str"/>
      <c r="I29" t="str"/>
      <c r="J29" t="str"/>
      <c r="M29" t="str">
        <v>百分比</v>
      </c>
      <c r="N29" t="str">
        <v>支给</v>
      </c>
      <c r="O29" t="str">
        <v>事件</v>
      </c>
      <c r="P29" s="13" t="str"/>
      <c r="S29" t="str"/>
      <c r="T29" t="str"/>
      <c r="W29" t="str">
        <v>百分比</v>
      </c>
      <c r="X29" t="str">
        <v>sp训练</v>
      </c>
      <c r="Y29" t="str">
        <v>事件</v>
      </c>
      <c r="Z29" s="13" t="str"/>
      <c r="AC29" t="str"/>
      <c r="AD29" t="str"/>
      <c r="AG29" t="str">
        <v>百分比</v>
      </c>
      <c r="AH29" t="str">
        <v>试验终了</v>
      </c>
      <c r="AI29" t="str">
        <v>事件</v>
      </c>
      <c r="AJ29" s="14" t="str">
        <v>SP</v>
      </c>
      <c r="AM29" t="str"/>
      <c r="AN29" s="1" t="str"/>
      <c r="AQ29" t="str">
        <v>基础值</v>
      </c>
      <c r="AR29" t="str">
        <v>休息</v>
      </c>
      <c r="AS29" t="str">
        <v>事件</v>
      </c>
      <c r="AT29" s="13" t="str"/>
      <c r="AW29" s="1" t="str"/>
      <c r="AX29" s="1" t="str"/>
      <c r="BA29" t="str">
        <v>百分比</v>
      </c>
      <c r="BB29" t="str">
        <v>试验终了</v>
      </c>
      <c r="BC29" t="str">
        <v>事件</v>
      </c>
      <c r="BD29" s="14" t="str">
        <v>SP</v>
      </c>
      <c r="BG29" s="1" t="str"/>
      <c r="BH29" s="1" t="str"/>
    </row>
    <row customHeight="true" ht="16" r="30">
      <c r="C30">
        <f>IF(C28=-1,0,INDEX('词条'!C4:G4,C28+1))</f>
      </c>
      <c r="D30">
        <f>IF(C28=-1,0,IF(C28&lt;=2,'词条'!F10,'词条'!G10))</f>
      </c>
      <c r="E30">
        <f>IF(C28=-1,0,CHOOSE(C28+1,'词条'!C2,'词条'!D2,'词条'!D2,'词条'!D2,'词条'!E2))</f>
      </c>
      <c r="F30" s="10" t="str">
        <v>感性</v>
      </c>
      <c r="I30" t="str"/>
      <c r="J30" t="str"/>
      <c r="M30">
        <f>IF(M28=-1,0,INDEX('词条'!C4:G4,M28+1))</f>
      </c>
      <c r="N30">
        <f>IF(M28=-1,0,IF(M28&lt;=2,'词条'!C12,'词条'!D12))</f>
      </c>
      <c r="O30">
        <f>IF(M28=-1,0,CHOOSE(M28+1,'词条'!C2,'词条'!D2,'词条'!D2,'词条'!D2,'词条'!E2))</f>
      </c>
      <c r="P30" s="11" t="str">
        <v>通用</v>
      </c>
      <c r="S30" t="str"/>
      <c r="T30" t="str"/>
      <c r="W30">
        <f>IF(W28=-1,0,INDEX('词条'!C4:G4,W28+1))</f>
      </c>
      <c r="X30">
        <f>IF(W28=-1,0,IF(W28&lt;=2,'词条'!C7,'词条'!D7))</f>
      </c>
      <c r="Y30">
        <f>IF(W28=-1,0,CHOOSE(W28+1,'词条'!C2,'词条'!D2,'词条'!D2,'词条'!D2,'词条'!E2))</f>
      </c>
      <c r="Z30" s="11" t="str">
        <v>通用</v>
      </c>
      <c r="AC30" t="str"/>
      <c r="AD30" t="str"/>
      <c r="AG30">
        <f>IF(AG28=-1,0,INDEX('词条'!I4:M4,AG28+1))</f>
      </c>
      <c r="AH30">
        <f>IF(AG28=-1,0,IF(AG28&lt;=2,'词条'!I19,'词条'!J19))</f>
      </c>
      <c r="AI30">
        <f>IF(AG28=-1,0,CHOOSE(AG28+1,'词条'!I2,'词条'!I2,'词条'!J2,'词条'!J2,'词条'!K2))</f>
      </c>
      <c r="AJ30" s="11" t="str">
        <v>通用</v>
      </c>
      <c r="AM30" t="str"/>
      <c r="AN30" s="1" t="str"/>
      <c r="AQ30">
        <f>IF(AQ28=-1,0,INDEX('词条'!I3:M3,AQ28+1))</f>
      </c>
      <c r="AR30">
        <f>IF(AQ28=-1,0,IF(AQ28&lt;=2,'词条'!I5,'词条'!J5))</f>
      </c>
      <c r="AS30">
        <f>IF(AQ28=-1,0,CHOOSE(AQ28+1,'词条'!I2,'词条'!I2,'词条'!J2,'词条'!J2,'词条'!K2))</f>
      </c>
      <c r="AT30" s="10" t="str">
        <v>感性</v>
      </c>
      <c r="AW30" s="1" t="str"/>
      <c r="AX30" s="1" t="str"/>
      <c r="BA30">
        <f>IF(BA28=-1,0,INDEX('词条'!I4:M4,BA28+1))</f>
      </c>
      <c r="BB30">
        <f>IF(BA28=-1,0,IF(BA28&lt;=2,'词条'!I19,'词条'!J19))</f>
      </c>
      <c r="BC30">
        <f>IF(BA28=-1,0,CHOOSE(BA28+1,'词条'!I2,'词条'!I2,'词条'!J2,'词条'!J2,'词条'!K2))</f>
      </c>
      <c r="BD30" s="11" t="str">
        <v>通用</v>
      </c>
      <c r="BG30" s="1" t="str"/>
      <c r="BH30" s="1" t="str"/>
    </row>
    <row customHeight="true" ht="16" r="31">
      <c r="A31" s="1" t="str"/>
      <c r="B31" s="1" t="str"/>
      <c r="C31" s="1" t="str"/>
      <c r="D31" s="1" t="str"/>
      <c r="E31" s="1" t="str"/>
      <c r="F31" s="1" t="str"/>
      <c r="G31" s="1" t="str"/>
      <c r="H31" s="1" t="str"/>
      <c r="I31" s="1" t="str"/>
      <c r="J31" s="1" t="str"/>
      <c r="K31" s="1" t="str"/>
      <c r="L31" s="1" t="str"/>
      <c r="M31" s="1" t="str"/>
      <c r="N31" s="1" t="str"/>
      <c r="O31" s="1" t="str"/>
      <c r="P31" s="1" t="str"/>
      <c r="Q31" s="1" t="str"/>
      <c r="R31" s="1" t="str"/>
      <c r="S31" s="1" t="str"/>
      <c r="T31" s="1" t="str"/>
      <c r="U31" s="1" t="str"/>
      <c r="V31" s="1" t="str"/>
      <c r="W31" s="1" t="str"/>
      <c r="X31" s="1" t="str"/>
      <c r="Y31" s="1" t="str"/>
      <c r="Z31" s="1" t="str"/>
      <c r="AA31" s="1" t="str"/>
      <c r="AB31" s="1" t="str"/>
      <c r="AC31" s="1" t="str"/>
      <c r="AD31" s="1" t="str"/>
      <c r="AE31" s="1" t="str"/>
      <c r="AF31" s="1" t="str"/>
      <c r="AG31" s="1" t="str"/>
      <c r="AH31" s="1" t="str"/>
      <c r="AI31" s="1" t="str"/>
      <c r="AJ31" s="1" t="str"/>
      <c r="AK31" s="1" t="str"/>
      <c r="AL31" s="1" t="str"/>
      <c r="AM31" s="1" t="str"/>
      <c r="AN31" s="1" t="str"/>
      <c r="AO31" s="1" t="str"/>
      <c r="AP31" s="1" t="str"/>
      <c r="AQ31" s="1" t="str"/>
      <c r="AR31" s="1" t="str"/>
      <c r="AS31" s="1" t="str"/>
      <c r="AT31" s="1" t="str"/>
      <c r="AU31" s="1" t="str"/>
      <c r="AV31" s="1" t="str"/>
      <c r="AW31" s="1" t="str"/>
      <c r="AX31" s="1" t="str"/>
      <c r="AY31" s="1" t="str"/>
      <c r="AZ31" s="1" t="str"/>
      <c r="BA31" s="1" t="str"/>
      <c r="BB31" s="1" t="str"/>
      <c r="BC31" s="1" t="str"/>
      <c r="BD31" s="1" t="str"/>
      <c r="BE31" s="1" t="str"/>
      <c r="BF31" s="1" t="str"/>
      <c r="BG31" s="1" t="str"/>
      <c r="BH31" s="1" t="str"/>
    </row>
    <row customHeight="true" ht="16" r="32">
      <c r="A32" t="str">
        <v>何やってるんだろう、（红再动）</v>
      </c>
      <c r="H32" s="1" t="str"/>
      <c r="I32" t="str"/>
      <c r="J32" t="str"/>
      <c r="K32" t="str">
        <v>晴れたね（蓝睡）</v>
      </c>
      <c r="R32" t="str"/>
      <c r="S32" t="str"/>
      <c r="T32" t="str"/>
      <c r="U32" t="str">
        <v>あなたにも作ってあげる！（黄睡）</v>
      </c>
      <c r="AB32" s="1" t="str"/>
      <c r="AC32" s="1" t="str"/>
      <c r="AD32" s="1" t="str"/>
      <c r="AE32" s="1" t="str">
        <v>イヤホンはんぶんこ</v>
      </c>
      <c r="AL32" s="1" t="str"/>
      <c r="AM32" s="1" t="str"/>
      <c r="AN32" s="1" t="str"/>
      <c r="AO32" s="1" t="str">
        <v>どりゃぎゃ（矿泉水）</v>
      </c>
      <c r="AV32" s="1" t="str"/>
      <c r="AW32" s="2" t="str">
        <v>道具属性</v>
      </c>
      <c r="AX32" s="25" t="str">
        <v>好调抓卡</v>
      </c>
      <c r="AY32" s="1" t="str">
        <v>かちこちストレッチ（菲柱体前屈）</v>
      </c>
      <c r="BF32" s="1" t="str"/>
      <c r="BG32" s="2" t="str">
        <v>道具属性</v>
      </c>
      <c r="BH32" s="2" t="str">
        <v>好印象抓卡</v>
      </c>
    </row>
    <row customHeight="true" ht="63" r="33">
      <c r="A33" s="13"/>
      <c r="C33" t="str">
        <v>破数</v>
      </c>
      <c r="D33" t="str"/>
      <c r="E33" t="str">
        <v>强化</v>
      </c>
      <c r="F33" s="8" t="str">
        <v>第一属性</v>
      </c>
      <c r="G33" s="5" t="str">
        <v>第二属性</v>
      </c>
      <c r="H33" s="6" t="str">
        <v>第三属性</v>
      </c>
      <c r="I33" t="str"/>
      <c r="J33" t="str"/>
      <c r="K33" s="13"/>
      <c r="M33" t="str">
        <v>破数</v>
      </c>
      <c r="N33" t="str"/>
      <c r="O33" t="str">
        <v>外出</v>
      </c>
      <c r="P33" s="8" t="str">
        <v>第一属性</v>
      </c>
      <c r="Q33" s="5" t="str">
        <v>第二属性</v>
      </c>
      <c r="R33" s="6" t="str">
        <v>第三属性</v>
      </c>
      <c r="S33" t="str"/>
      <c r="T33" t="str"/>
      <c r="U33" s="13"/>
      <c r="W33" t="str">
        <v>破数</v>
      </c>
      <c r="X33" t="str"/>
      <c r="Y33" t="str">
        <v>休息</v>
      </c>
      <c r="Z33" s="8" t="str">
        <v>第一属性</v>
      </c>
      <c r="AA33" s="5" t="str">
        <v>第二属性</v>
      </c>
      <c r="AB33" s="6" t="str">
        <v>第三属性</v>
      </c>
      <c r="AC33" t="str"/>
      <c r="AD33" t="str"/>
      <c r="AG33" t="str">
        <v>破数</v>
      </c>
      <c r="AH33" t="str"/>
      <c r="AI33" t="str">
        <v>休息</v>
      </c>
      <c r="AJ33" s="8" t="str">
        <v>第一属性</v>
      </c>
      <c r="AK33" s="5" t="str">
        <v>第二属性</v>
      </c>
      <c r="AL33" s="6" t="str">
        <v>第三属性</v>
      </c>
      <c r="AM33" t="str"/>
      <c r="AN33" t="str"/>
      <c r="AO33" s="1"/>
      <c r="AQ33" t="str">
        <v>破数</v>
      </c>
      <c r="AR33" t="str"/>
      <c r="AS33" t="str">
        <v>训练</v>
      </c>
      <c r="AT33" s="8" t="str">
        <v>第一属性</v>
      </c>
      <c r="AU33" s="5" t="str">
        <v>第二属性</v>
      </c>
      <c r="AV33" s="6" t="str">
        <v>第三属性</v>
      </c>
      <c r="AW33" s="24">
        <f>AX33*6</f>
      </c>
      <c r="AX33" s="25">
        <v>10</v>
      </c>
      <c r="AY33" s="1"/>
      <c r="BA33" t="str">
        <v>破数</v>
      </c>
      <c r="BB33" t="str"/>
      <c r="BC33" t="str">
        <v>sp训练</v>
      </c>
      <c r="BD33" s="8" t="str">
        <v>第一属性</v>
      </c>
      <c r="BE33" s="9" t="str">
        <v>第二属性</v>
      </c>
      <c r="BF33" s="6" t="str">
        <v>第三属性</v>
      </c>
      <c r="BG33" s="24">
        <f>BH33*6</f>
      </c>
      <c r="BH33" s="25">
        <v>10</v>
      </c>
    </row>
    <row customHeight="true" ht="16" r="34">
      <c r="C34" s="7">
        <v>4</v>
      </c>
      <c r="D34" t="str"/>
      <c r="E34">
        <f>IF(C34=-1,0,IF(C34&lt;=3,'词条'!C9,'词条'!D9))</f>
      </c>
      <c r="F34" s="8">
        <f>IF(C34=-1,0,INT(C36+D36*'路线'!B14+E34*('路线'!B28+'路线'!B29)+E36))</f>
      </c>
      <c r="G34" s="5">
        <f>IF(C34=-1,0,INT(C36+D36*'路线'!B17+E34*('路线'!B28+'路线'!B29)+E36))</f>
      </c>
      <c r="H34" s="6">
        <f>IF(C34=-1,0,INT(C36+D36*'路线'!B20+E34*('路线'!B28+'路线'!B29)+E36))</f>
      </c>
      <c r="I34" t="str"/>
      <c r="J34" t="str"/>
      <c r="M34" s="7">
        <v>4</v>
      </c>
      <c r="N34" t="str"/>
      <c r="O34">
        <f>IF(M34=-1,0,IF(M34&lt;=3,'词条'!C17,'词条'!D17))</f>
      </c>
      <c r="P34" s="8">
        <f>IF(M34=-1,0,INT((M36/100)*'路线'!B11+N36*'路线'!B32+O34*'路线'!B31+O36))</f>
      </c>
      <c r="Q34" s="5">
        <f>IF(M34=-1,0,INT((M36/100)*'路线'!B12+N36*'路线'!B32+O34*'路线'!B31+O36))</f>
      </c>
      <c r="R34" s="6">
        <f>IF(M34=-1,0,INT((M36/100)*'路线'!B13+N36*'路线'!B32+O34*'路线'!B31+O36))</f>
      </c>
      <c r="S34" t="str"/>
      <c r="T34" t="str"/>
      <c r="W34" s="7">
        <v>4</v>
      </c>
      <c r="X34" t="str"/>
      <c r="Y34">
        <f>IF(W34=-1,0,IF(W34&lt;=3,'词条'!C5,'词条'!D5))</f>
      </c>
      <c r="Z34" s="8">
        <f>IF(W34=-1,0,INT(W36+X36*'路线'!B14+Y34*'路线'!B32+Y36))</f>
      </c>
      <c r="AA34" s="5">
        <f>IF(W34=-1,0,INT(W36+X36*'路线'!B17+Y34*'路线'!B32+Y36))</f>
      </c>
      <c r="AB34" s="6">
        <f>IF(W34=-1,0,INT(W36+X36*'路线'!B20+Y34*'路线'!B32+Y36))</f>
      </c>
      <c r="AC34" t="str"/>
      <c r="AD34" t="str"/>
      <c r="AG34" s="7">
        <v>4</v>
      </c>
      <c r="AH34" t="str"/>
      <c r="AI34">
        <f>IF(AG34=-1,0,IF(AG34&lt;=3,'词条'!I5,'词条'!J5))</f>
      </c>
      <c r="AJ34" s="5">
        <f>IF(AG34=-1,0,IF('路线'!C6="计算",INT(AG36+AH36*'路线'!B31+AI34*'路线'!B32+AI36+20),INT(AG36+AH36*'路线'!B31+AI34*'路线'!B32+AI36)))</f>
      </c>
      <c r="AK34" s="5">
        <f>IF(AG34=-1,0,IF('路线'!C6="计算",INT(AG36+AH36*'路线'!B31+AI34*'路线'!B32+AI36+20),INT(AG36+AH36*'路线'!B31+AI34*'路线'!B32+AI36)))</f>
      </c>
      <c r="AL34" s="5">
        <f>IF(AG34=-1,0,IF('路线'!C6="计算",INT(AG36+AH36*'路线'!B31+AI34*'路线'!B32+AI36+20),INT(AG36+AH36*'路线'!B31+AI34*'路线'!B32+AI36)))</f>
      </c>
      <c r="AM34" t="str"/>
      <c r="AN34" t="str"/>
      <c r="AQ34" s="7">
        <v>4</v>
      </c>
      <c r="AR34" t="str"/>
      <c r="AS34">
        <f>IF(AQ34=-1,0,IF(AQ34&lt;=3,'词条'!I6,'词条'!J6))</f>
      </c>
      <c r="AT34" s="5">
        <f>IF(AQ34=-1,0,INT(AQ36+AR36*'路线'!B34+AS34*'路线'!B14+AS36))</f>
      </c>
      <c r="AU34" s="5">
        <f>IF(AQ34=-1,0,INT(AQ36+AR36*'路线'!B34+AS34*'路线'!B17+AS36))</f>
      </c>
      <c r="AV34" s="5">
        <f>IF(AQ34=-1,0,INT(AQ36+AR36*'路线'!B34+AS34*'路线'!B20+AS36))</f>
      </c>
      <c r="AW34" s="2">
        <f>AT34+AW33</f>
      </c>
      <c r="AX34" s="1" t="str"/>
      <c r="BA34" s="7">
        <v>4</v>
      </c>
      <c r="BB34" t="str"/>
      <c r="BC34">
        <f>IF(BA34=-1,0,IF(BA34&lt;=3,'词条'!I7,'词条'!J7))</f>
      </c>
      <c r="BD34" s="5">
        <f>IF(BA34=-1,0,INT((BA36/100)*'路线'!B11+BB36*'路线'!B33+BC34*'路线'!B15+BC36))</f>
      </c>
      <c r="BE34" s="5">
        <f>IF(BA34=-1,0,INT((BA36/100)*'路线'!B12+BB36*'路线'!B33+BC34*'路线'!B18+BC36))</f>
      </c>
      <c r="BF34" s="9">
        <f>IF(BA34=-1,0,INT((BA36/100)*'路线'!B13+BB36*'路线'!B33+BC34*'路线'!B21+BC36))</f>
      </c>
      <c r="BG34" s="2">
        <f>BD34+BG33</f>
      </c>
      <c r="BH34" s="1" t="str"/>
    </row>
    <row customHeight="true" ht="16" r="35">
      <c r="C35" t="str">
        <v>基础值</v>
      </c>
      <c r="D35" t="str">
        <v>训练</v>
      </c>
      <c r="E35" t="str">
        <v>事件</v>
      </c>
      <c r="F35" s="14" t="str">
        <v>SP</v>
      </c>
      <c r="I35" t="str"/>
      <c r="J35" t="str"/>
      <c r="M35" t="str">
        <v>百分比</v>
      </c>
      <c r="N35" t="str">
        <v>休息</v>
      </c>
      <c r="O35" t="str">
        <v>事件</v>
      </c>
      <c r="P35" s="13" t="str"/>
      <c r="S35" t="str"/>
      <c r="T35" t="str"/>
      <c r="W35" t="str">
        <v>基础值</v>
      </c>
      <c r="X35" t="str">
        <v>训练</v>
      </c>
      <c r="Y35" t="str">
        <v>事件</v>
      </c>
      <c r="Z35" s="13" t="str"/>
      <c r="AC35" t="str"/>
      <c r="AD35" t="str"/>
      <c r="AG35" t="str">
        <v>基础值</v>
      </c>
      <c r="AH35" t="str">
        <v>外出</v>
      </c>
      <c r="AI35" t="str">
        <v>事件</v>
      </c>
      <c r="AJ35" s="13" t="str"/>
      <c r="AM35" t="str"/>
      <c r="AN35" t="str"/>
      <c r="AQ35" t="str">
        <v>基础值</v>
      </c>
      <c r="AR35" t="str">
        <v>支给</v>
      </c>
      <c r="AS35" t="str">
        <v>事件</v>
      </c>
      <c r="AT35" s="14" t="str">
        <v>SP</v>
      </c>
      <c r="AW35" s="2">
        <f>AU34+AW33</f>
      </c>
      <c r="AX35" s="1" t="str"/>
      <c r="BA35" t="str">
        <v>百分比</v>
      </c>
      <c r="BB35" t="str">
        <v>相谈</v>
      </c>
      <c r="BC35" t="str">
        <v>事件</v>
      </c>
      <c r="BD35" s="13" t="str"/>
      <c r="BG35" s="2">
        <f>BE34+BG33</f>
      </c>
      <c r="BH35" s="1" t="str"/>
    </row>
    <row customHeight="true" ht="16" r="36">
      <c r="C36">
        <f>IF(C34=-1,0,INDEX('词条'!C3:G3,C34+1))</f>
      </c>
      <c r="D36">
        <f>IF(C34=-1,0,IF(C34&lt;=2,'词条'!C6,'词条'!D6))</f>
      </c>
      <c r="E36">
        <f>IF(C34=-1,0,CHOOSE(C34+1,'词条'!C2,'词条'!D2,'词条'!D2,'词条'!D2,'词条'!E2))</f>
      </c>
      <c r="F36" s="11" t="str">
        <v>通用</v>
      </c>
      <c r="I36" t="str"/>
      <c r="J36" t="str"/>
      <c r="M36">
        <f>IF(M34=-1,0,INDEX('词条'!C4:G4,M34+1))</f>
      </c>
      <c r="N36">
        <f>IF(M34=-1,0,IF(M34&lt;=2,'词条'!C5,'词条'!D5))</f>
      </c>
      <c r="O36">
        <f>IF(M34=-1,0,CHOOSE(M34+1,'词条'!C2,'词条'!D2,'词条'!D2,'词条'!D2,'词条'!E2))</f>
      </c>
      <c r="P36" s="11" t="str">
        <v>通用</v>
      </c>
      <c r="S36" t="str"/>
      <c r="T36" t="str"/>
      <c r="W36">
        <f>IF(W34=-1,0,INDEX('词条'!C3:G3,W34+1))</f>
      </c>
      <c r="X36">
        <f>IF(W34=-1,0,IF(W34&lt;=2,'词条'!C6,'词条'!D6))</f>
      </c>
      <c r="Y36">
        <f>IF(W34=-1,0,CHOOSE(W34+1,'词条'!C2,'词条'!D2,'词条'!D2,'词条'!D2,'词条'!E2))</f>
      </c>
      <c r="Z36" s="11" t="str">
        <v>通用</v>
      </c>
      <c r="AC36" t="str"/>
      <c r="AD36" t="str"/>
      <c r="AG36">
        <f>IF(AG34=-1,0,INDEX('词条'!I3:M3,AG34+1))</f>
      </c>
      <c r="AH36">
        <f>IF(AG34=-1,0,IF(AG34&lt;=2,'词条'!I17,'词条'!J17))</f>
      </c>
      <c r="AI36">
        <f>IF(AG34=-1,0,CHOOSE(AG34+1,'词条'!I2,'词条'!I2,'词条'!J2,'词条'!J2,'词条'!K2))</f>
      </c>
      <c r="AJ36" s="12" t="str">
        <v>理性</v>
      </c>
      <c r="AM36" t="str"/>
      <c r="AN36" t="str"/>
      <c r="AQ36">
        <f>IF(AQ34=-1,0,INDEX('词条'!I3:M3,AQ34+1))</f>
      </c>
      <c r="AR36">
        <f>IF(AQ34=-1,0,IF(AQ34&lt;=2,'词条'!I12,'词条'!J12))</f>
      </c>
      <c r="AS36">
        <f>IF(AQ34=-1,0,CHOOSE(AQ34+1,'词条'!I2,'词条'!I2,'词条'!J2,'词条'!J2,'词条'!K2))</f>
      </c>
      <c r="AT36" s="10" t="str">
        <v>感性</v>
      </c>
      <c r="AW36" s="2">
        <f>AV34+AW33</f>
      </c>
      <c r="AX36" s="1" t="str"/>
      <c r="BA36">
        <f>IF(BA34=-1,0,INDEX('词条'!I4:M4,BA34+1))</f>
      </c>
      <c r="BB36">
        <f>IF(BA34=-1,0,IF(BA34&lt;=2,'词条'!I18,'词条'!J18))</f>
      </c>
      <c r="BC36">
        <f>IF(BA34=-1,0,CHOOSE(BA34+1,'词条'!I2,'词条'!I2,'词条'!J2,'词条'!J2,'词条'!K2))</f>
      </c>
      <c r="BD36" s="12" t="str">
        <v>理性</v>
      </c>
      <c r="BG36" s="2">
        <f>BF34+BG33</f>
      </c>
      <c r="BH36" s="1" t="str"/>
    </row>
    <row customHeight="true" ht="16" r="37">
      <c r="A37" s="1" t="str"/>
      <c r="B37" s="1" t="str"/>
      <c r="C37" s="1" t="str"/>
      <c r="D37" s="1" t="str"/>
      <c r="E37" s="1" t="str"/>
      <c r="F37" s="1" t="str"/>
      <c r="G37" s="1" t="str"/>
      <c r="H37" s="1" t="str"/>
      <c r="I37" s="1" t="str"/>
      <c r="J37" s="1" t="str"/>
      <c r="K37" s="1" t="str"/>
      <c r="L37" s="1" t="str"/>
      <c r="M37" s="1" t="str"/>
      <c r="N37" s="1" t="str"/>
      <c r="O37" s="1" t="str"/>
      <c r="P37" s="1" t="str"/>
      <c r="Q37" s="1" t="str"/>
      <c r="R37" s="1" t="str"/>
      <c r="S37" s="1" t="str"/>
      <c r="T37" s="1" t="str"/>
      <c r="U37" s="1" t="str"/>
      <c r="V37" s="1" t="str"/>
      <c r="W37" s="1" t="str"/>
      <c r="X37" s="1" t="str"/>
      <c r="Y37" s="1" t="str"/>
      <c r="Z37" s="1" t="str"/>
      <c r="AA37" s="1" t="str"/>
      <c r="AB37" s="1" t="str"/>
      <c r="AC37" s="1" t="str"/>
      <c r="AD37" s="1" t="str"/>
      <c r="AE37" s="1" t="str"/>
      <c r="AF37" s="1" t="str"/>
      <c r="AG37" s="1" t="str"/>
      <c r="AH37" s="1" t="str"/>
      <c r="AI37" s="1" t="str"/>
      <c r="AJ37" s="1" t="str"/>
      <c r="AK37" s="1" t="str"/>
      <c r="AL37" s="1" t="str"/>
      <c r="AM37" s="1" t="str"/>
      <c r="AN37" s="1" t="str"/>
      <c r="AO37" s="1" t="str"/>
      <c r="AP37" s="1" t="str"/>
      <c r="AQ37" s="1" t="str"/>
      <c r="AR37" s="1" t="str"/>
      <c r="AS37" s="1" t="str"/>
      <c r="AT37" s="1" t="str"/>
      <c r="AU37" s="1" t="str"/>
      <c r="AV37" s="1" t="str"/>
      <c r="AW37" s="1" t="str"/>
      <c r="AX37" s="1" t="str"/>
      <c r="AY37" s="1" t="str"/>
      <c r="AZ37" s="1" t="str"/>
      <c r="BA37" s="1" t="str"/>
      <c r="BB37" s="1" t="str"/>
      <c r="BC37" s="1" t="str"/>
      <c r="BD37" s="1" t="str"/>
      <c r="BE37" s="1" t="str"/>
      <c r="BF37" s="1" t="str"/>
      <c r="BG37" s="1" t="str"/>
      <c r="BH37" s="1" t="str"/>
    </row>
    <row customHeight="true" ht="16" r="38">
      <c r="A38" t="str">
        <v>まだ上がりませんように！（撑伞）</v>
      </c>
      <c r="H38" s="1" t="str"/>
      <c r="I38" t="str"/>
      <c r="J38" t="str"/>
      <c r="K38" t="str">
        <v>もうっ！　冷たいよ！（蓝喷水）</v>
      </c>
      <c r="R38" t="str"/>
      <c r="S38" t="str"/>
      <c r="T38" t="str"/>
      <c r="U38" s="3" t="str">
        <v>第2回教室パーティー！（一年一班）</v>
      </c>
      <c r="AB38" s="1" t="str"/>
      <c r="AC38" s="1" t="str"/>
      <c r="AD38" s="1" t="str"/>
      <c r="AE38" s="1" t="str">
        <v>海、楽しまなきゃ！（sr红睡）</v>
      </c>
      <c r="AL38" t="str"/>
      <c r="AM38" s="33" t="str">
        <v>道具属性</v>
      </c>
      <c r="AN38" s="25" t="str">
        <v>干劲抓卡</v>
      </c>
      <c r="AO38" t="str">
        <v>ふわふわなお面？（小熊）</v>
      </c>
      <c r="AV38" s="1" t="str"/>
      <c r="AW38" s="1" t="str"/>
      <c r="AX38" s="1" t="str"/>
      <c r="AY38" s="1" t="str">
        <v>やさしさ、あったかい（白毛哭哭）</v>
      </c>
      <c r="BF38" s="1" t="str"/>
      <c r="BG38" s="1" t="str"/>
      <c r="BH38" s="1" t="str"/>
    </row>
    <row customHeight="true" ht="63" r="39">
      <c r="A39" s="13"/>
      <c r="C39" t="str">
        <v>破数</v>
      </c>
      <c r="D39" t="str"/>
      <c r="E39" t="str">
        <v>m强化</v>
      </c>
      <c r="F39" s="8" t="str">
        <v>第一属性</v>
      </c>
      <c r="G39" s="5" t="str">
        <v>第二属性</v>
      </c>
      <c r="H39" s="6" t="str">
        <v>第三属性</v>
      </c>
      <c r="I39" t="str"/>
      <c r="J39" t="str"/>
      <c r="K39" s="13"/>
      <c r="M39" t="str">
        <v>破数</v>
      </c>
      <c r="N39" t="str"/>
      <c r="O39" t="str">
        <v>试验终了</v>
      </c>
      <c r="P39" s="8" t="str">
        <v>第一属性</v>
      </c>
      <c r="Q39" s="5" t="str">
        <v>第二属性</v>
      </c>
      <c r="R39" s="6" t="str">
        <v>第三属性</v>
      </c>
      <c r="S39" t="str"/>
      <c r="T39" t="str"/>
      <c r="U39" s="13"/>
      <c r="W39" t="str">
        <v>破数</v>
      </c>
      <c r="X39" t="str"/>
      <c r="Y39" t="str">
        <v>试验终了</v>
      </c>
      <c r="Z39" s="8" t="str">
        <v>第一属性</v>
      </c>
      <c r="AA39" s="5" t="str">
        <v>第二属性</v>
      </c>
      <c r="AB39" s="6" t="str">
        <v>第三属性</v>
      </c>
      <c r="AC39" t="str"/>
      <c r="AD39" t="str"/>
      <c r="AG39" t="str">
        <v>破数</v>
      </c>
      <c r="AH39" t="str"/>
      <c r="AI39" t="str"/>
      <c r="AJ39" s="8" t="str">
        <v>第一属性</v>
      </c>
      <c r="AK39" s="5" t="str">
        <v>第二属性</v>
      </c>
      <c r="AL39" s="6" t="str">
        <v>第三属性</v>
      </c>
      <c r="AM39" s="26">
        <f>AN39*6</f>
      </c>
      <c r="AN39" s="25">
        <v>10</v>
      </c>
      <c r="AO39" s="13"/>
      <c r="AQ39" t="str">
        <v>破数</v>
      </c>
      <c r="AR39" t="str"/>
      <c r="AS39" t="str">
        <v>sp训练</v>
      </c>
      <c r="AT39" s="8" t="str">
        <v>第一属性</v>
      </c>
      <c r="AU39" s="5" t="str">
        <v>第二属性</v>
      </c>
      <c r="AV39" s="6" t="str">
        <v>第三属性</v>
      </c>
      <c r="AW39" s="1" t="str"/>
      <c r="AX39" s="1" t="str"/>
      <c r="AY39" s="1"/>
      <c r="BA39" t="str">
        <v>破数</v>
      </c>
      <c r="BB39" t="str"/>
      <c r="BC39" t="str">
        <v>训练</v>
      </c>
      <c r="BD39" s="8" t="str">
        <v>第一属性</v>
      </c>
      <c r="BE39" s="9" t="str">
        <v>第二属性</v>
      </c>
      <c r="BF39" s="6" t="str">
        <v>第三属性</v>
      </c>
      <c r="BG39" s="1" t="str"/>
      <c r="BH39" s="1" t="str"/>
    </row>
    <row customHeight="true" ht="16" r="40">
      <c r="C40" s="7">
        <v>4</v>
      </c>
      <c r="D40" t="str"/>
      <c r="E40">
        <f>IF(C40=-1,0,IF(C40&lt;=3,'词条'!C10,'词条'!D11))</f>
      </c>
      <c r="F40" s="8">
        <f>IF(C40=-1,0,IF('路线'!C6="计算",INT((C42/100)*'路线'!B11+D42*'路线'!B15+E40*'路线'!B29+E42+20),INT((C42/100)*'路线'!B11+D42*'路线'!B15+E40*'路线'!B29+E42)))</f>
      </c>
      <c r="G40" s="5">
        <f>IF(C40=-1,0,IF('路线'!C6="计算",INT((C42/100)*'路线'!B12+D42*'路线'!B18+E40*'路线'!B29+E42+20),INT((C42/100)*'路线'!B12+D42*'路线'!B18+E40*'路线'!B29+E42)))</f>
      </c>
      <c r="H40" s="6">
        <f>IF(C40=-1,0,IF('路线'!C6="计算",INT((C42/100)*'路线'!B13+D42*'路线'!B21+E40*'路线'!B29+E42+20),INT((C42/100)*'路线'!B13+D42*'路线'!B21+E40*'路线'!B29+E42)))</f>
      </c>
      <c r="I40" t="str"/>
      <c r="J40" t="str"/>
      <c r="M40" s="7">
        <v>4</v>
      </c>
      <c r="N40" t="str"/>
      <c r="O40">
        <f>IF(M40=-1,0,IF(M40&lt;=3,'词条'!C19,'词条'!D19))</f>
      </c>
      <c r="P40" s="8">
        <f>IF(M40=-1,0,INT(M42+N42*'路线'!B15+O40+O42))</f>
      </c>
      <c r="Q40" s="5">
        <f>IF(M40=-1,0,INT(M42+N42*'路线'!B18+O40+O42))</f>
      </c>
      <c r="R40" s="6">
        <f>IF(M40=-1,0,INT(M42+N42*'路线'!B21+O40+O42))</f>
      </c>
      <c r="S40" t="str"/>
      <c r="T40" t="str"/>
      <c r="W40" s="7">
        <v>4</v>
      </c>
      <c r="X40" t="str"/>
      <c r="Y40">
        <f>IF(W40=-1,0,IF(W40&lt;=3,'词条'!F19,'词条'!G19))</f>
      </c>
      <c r="Z40" s="8">
        <f>IF(W40=-1,0,IF('路线'!C6="计算",INT(W42+X42*'路线'!B14+Y40+Y42+20),INT(W42+X42*'路线'!B14+Y40+Y42)))</f>
      </c>
      <c r="AA40" s="5">
        <f>IF(W40=-1,0,IF('路线'!C6="计算",INT(W42+X42*'路线'!B17+Y40+Y42+20),INT(W42+X42*'路线'!B17+Y40+Y42)))</f>
      </c>
      <c r="AB40" s="6">
        <f>IF(W40=-1,0,IF('路线'!C6="计算",INT(W42+X42*'路线'!B20+Y40+Y42+20),INT(W42+X42*'路线'!B20+Y40+Y42)))</f>
      </c>
      <c r="AC40" t="str"/>
      <c r="AD40" t="str"/>
      <c r="AG40" s="7">
        <v>4</v>
      </c>
      <c r="AH40" t="str"/>
      <c r="AI40" t="str"/>
      <c r="AJ40" s="5">
        <f>IF(AG40=-1,0,INT(AG42+AH42*'路线'!B32+AI42))</f>
      </c>
      <c r="AK40" s="5">
        <f>IF(AG40=-1,0,INT(AG42+AH42*'路线'!B32+AI42))</f>
      </c>
      <c r="AL40" s="5">
        <f>IF(AG40=-1,0,INT(AG42+AH42*'路线'!B32+AI42))</f>
      </c>
      <c r="AM40" s="2">
        <f>AJ40+AM39</f>
      </c>
      <c r="AN40" s="1" t="str"/>
      <c r="AQ40" s="7">
        <v>4</v>
      </c>
      <c r="AR40" t="str"/>
      <c r="AS40">
        <f>IF(AQ40=-1,0,IF(AQ40&lt;=3,'词条'!I7,'词条'!J7))</f>
      </c>
      <c r="AT40" s="5">
        <f>IF(AQ40=-1,0,INT(AQ42+AR42*'路线'!B31+AS40*'路线'!B15+AS42))</f>
      </c>
      <c r="AU40" s="5">
        <f>IF(AQ40=-1,0,INT(AQ42+AR42*'路线'!B31+AS40*'路线'!B18+AS42))</f>
      </c>
      <c r="AV40" s="9">
        <f>IF(AQ40=-1,0,INT(AQ42+AR42*'路线'!B31+AS40*'路线'!B21+AS42))</f>
      </c>
      <c r="AW40" s="1" t="str"/>
      <c r="AX40" s="1" t="str"/>
      <c r="BA40" s="7">
        <v>4</v>
      </c>
      <c r="BB40" t="str"/>
      <c r="BC40">
        <f>IF(BA40=-1,0,IF(BA40&lt;=3,'词条'!I6,'词条'!J6))</f>
      </c>
      <c r="BD40" s="5">
        <f>IF(BA40=-1,0,IF('路线'!C6="计算",INT(BA42+BB42*'路线'!B31+BC40*'路线'!B14+BC42+20),INT(BA42+BB42*'路线'!B31+BC40*'路线'!B14+BC42)))</f>
      </c>
      <c r="BE40" s="5">
        <f>IF(BA40=-1,0,IF('路线'!C6="计算",INT(BA42+BB42*'路线'!B31+BC40*'路线'!B17+BC42+20),INT(BA42+BB42*'路线'!B31+BC40*'路线'!B17+BC42)))</f>
      </c>
      <c r="BF40" s="9">
        <f>IF(BA40=-1,0,IF('路线'!C6="计算",INT(BA42+BB42*'路线'!B31+BC40*'路线'!B20+BC42+20),INT(BA42+BB42*'路线'!B31+BC40*'路线'!B20+BC42)))</f>
      </c>
      <c r="BG40" s="1" t="str"/>
      <c r="BH40" s="1" t="str"/>
    </row>
    <row customHeight="true" ht="16" r="41">
      <c r="C41" t="str">
        <v>百分比</v>
      </c>
      <c r="D41" t="str">
        <v>sp训练</v>
      </c>
      <c r="E41" t="str">
        <v>事件</v>
      </c>
      <c r="F41" s="13" t="str"/>
      <c r="I41" t="str"/>
      <c r="J41" t="str"/>
      <c r="M41" t="str">
        <v>基础值</v>
      </c>
      <c r="N41" t="str">
        <v>sp训练</v>
      </c>
      <c r="O41" t="str">
        <v>事件</v>
      </c>
      <c r="P41" s="14" t="str">
        <v>SP</v>
      </c>
      <c r="S41" t="str"/>
      <c r="T41" t="str"/>
      <c r="W41" t="str">
        <v>基础值</v>
      </c>
      <c r="X41" t="str">
        <v>训练</v>
      </c>
      <c r="Y41" t="str">
        <v>事件</v>
      </c>
      <c r="Z41" s="14" t="str">
        <v>SP</v>
      </c>
      <c r="AC41" t="str"/>
      <c r="AD41" t="str"/>
      <c r="AG41" t="str">
        <v>基础值</v>
      </c>
      <c r="AH41" t="str">
        <v>休息</v>
      </c>
      <c r="AI41" t="str">
        <v>事件</v>
      </c>
      <c r="AJ41" s="13" t="str"/>
      <c r="AM41" s="2">
        <f>AK40+AM39</f>
      </c>
      <c r="AN41" s="1" t="str"/>
      <c r="AQ41" t="str">
        <v>基础值</v>
      </c>
      <c r="AR41" t="str">
        <v>外出</v>
      </c>
      <c r="AS41" t="str">
        <v>事件</v>
      </c>
      <c r="AT41" s="14" t="str">
        <v>SP</v>
      </c>
      <c r="AW41" s="1" t="str"/>
      <c r="AX41" s="1" t="str"/>
      <c r="BA41" t="str">
        <v>基础值</v>
      </c>
      <c r="BB41" t="str">
        <v>外出</v>
      </c>
      <c r="BC41" t="str">
        <v>事件</v>
      </c>
      <c r="BD41" s="13" t="str"/>
      <c r="BG41" s="1" t="str"/>
      <c r="BH41" s="1" t="str"/>
    </row>
    <row customHeight="true" ht="16" r="42">
      <c r="C42">
        <f>IF(C40=-1,0,INDEX('词条'!C4:G4,C40+1))</f>
      </c>
      <c r="D42">
        <f>IF(C40=-1,0,IF(C40&lt;=2,'词条'!C7,'词条'!D7))</f>
      </c>
      <c r="E42">
        <f>IF(C40=-1,0,CHOOSE(C40+1,'词条'!C2,'词条'!D2,'词条'!D2,'词条'!D2,'词条'!E2))</f>
      </c>
      <c r="F42" s="11" t="str">
        <v>通用</v>
      </c>
      <c r="I42" t="str"/>
      <c r="J42" t="str"/>
      <c r="M42">
        <f>IF(M40=-1,0,INDEX('词条'!C3:G3,M40+1))</f>
      </c>
      <c r="N42">
        <f>IF(M40=-1,0,IF(M40&lt;=2,'词条'!C7,'词条'!D7))</f>
      </c>
      <c r="O42">
        <f>IF(M40=-1,0,CHOOSE(M40+1,'词条'!C2,'词条'!D2,'词条'!D2,'词条'!D2,'词条'!E2))</f>
      </c>
      <c r="P42" s="12" t="str">
        <v>理性</v>
      </c>
      <c r="S42" t="str"/>
      <c r="T42" t="str"/>
      <c r="W42">
        <f>IF(W40=-1,0,INDEX('词条'!C3:G3,W40+1))</f>
      </c>
      <c r="X42">
        <f>IF(W40=-1,0,IF(W40&lt;=3,'词条'!F6,'词条'!G6))</f>
      </c>
      <c r="Y42">
        <f>IF(W40=-1,0,CHOOSE(W40+1,'词条'!C2,'词条'!D2,'词条'!D2,'词条'!D2,'词条'!E2))</f>
      </c>
      <c r="Z42" s="11" t="str">
        <v>通用</v>
      </c>
      <c r="AC42" t="str"/>
      <c r="AD42" t="str"/>
      <c r="AG42">
        <f>IF(AG40=-1,0,INDEX('词条'!I3:M3,AG40+1))</f>
      </c>
      <c r="AH42">
        <f>IF(AG40=-1,0,IF(AG40&lt;=2,'词条'!I5,'词条'!J5))</f>
      </c>
      <c r="AI42">
        <f>IF(AG40=-1,0,CHOOSE(AG40+1,'词条'!I2,'词条'!I2,'词条'!J2,'词条'!J2,'词条'!K2))</f>
      </c>
      <c r="AJ42" s="12" t="str">
        <v>理性</v>
      </c>
      <c r="AM42" s="2">
        <f>AL40+AM39</f>
      </c>
      <c r="AN42" s="1" t="str"/>
      <c r="AQ42">
        <f>IF(AQ40=-1,0,INDEX('词条'!I3:M3,AQ40+1))</f>
      </c>
      <c r="AR42">
        <f>IF(AQ40=-1,0,IF(AQ40&lt;=2,'词条'!I17,'词条'!J17))</f>
      </c>
      <c r="AS42">
        <f>IF(AQ40=-1,0,CHOOSE(AQ40+1,'词条'!I2,'词条'!I2,'词条'!J2,'词条'!J2,'词条'!K2))</f>
      </c>
      <c r="AT42" s="11" t="str">
        <v>通用</v>
      </c>
      <c r="AW42" s="1" t="str"/>
      <c r="AX42" s="1" t="str"/>
      <c r="BA42">
        <f>IF(BA40=-1,0,INDEX('词条'!I3:M3,BA40+1))</f>
      </c>
      <c r="BB42">
        <f>IF(BA40=-1,0,IF(BA40&lt;=2,'词条'!I17,'词条'!J17))</f>
      </c>
      <c r="BC42">
        <f>IF(BA40=-1,0,CHOOSE(BA40+1,'词条'!I2,'词条'!I2,'词条'!J2,'词条'!J2,'词条'!K2))</f>
      </c>
      <c r="BD42" s="10" t="str">
        <v>感性</v>
      </c>
      <c r="BG42" s="1" t="str"/>
      <c r="BH42" s="1" t="str"/>
    </row>
    <row customHeight="true" ht="16" r="43">
      <c r="A43" s="1" t="str"/>
      <c r="B43" s="1" t="str"/>
      <c r="C43" s="1" t="str"/>
      <c r="D43" s="1" t="str"/>
      <c r="E43" s="1" t="str"/>
      <c r="F43" s="1" t="str"/>
      <c r="G43" s="1" t="str"/>
      <c r="H43" s="1" t="str"/>
      <c r="I43" s="1" t="str"/>
      <c r="J43" s="1" t="str"/>
      <c r="K43" s="1" t="str"/>
      <c r="L43" s="1" t="str"/>
      <c r="M43" s="1" t="str"/>
      <c r="N43" s="1" t="str"/>
      <c r="O43" s="1" t="str"/>
      <c r="P43" s="1" t="str"/>
      <c r="Q43" s="1" t="str"/>
      <c r="R43" s="1" t="str"/>
      <c r="S43" s="1" t="str"/>
      <c r="T43" s="1" t="str"/>
      <c r="U43" s="1" t="str"/>
      <c r="V43" s="1" t="str"/>
      <c r="W43" s="1" t="str"/>
      <c r="X43" s="1" t="str"/>
      <c r="Y43" s="1" t="str"/>
      <c r="Z43" s="1" t="str"/>
      <c r="AA43" s="1" t="str"/>
      <c r="AB43" s="1" t="str"/>
      <c r="AC43" s="1" t="str"/>
      <c r="AD43" s="1" t="str"/>
      <c r="AE43" s="1" t="str"/>
      <c r="AF43" s="1" t="str"/>
      <c r="AG43" s="1" t="str"/>
      <c r="AH43" s="1" t="str"/>
      <c r="AI43" s="1" t="str"/>
      <c r="AJ43" s="1" t="str"/>
      <c r="AK43" s="1" t="str"/>
      <c r="AL43" s="1" t="str"/>
      <c r="AM43" s="1" t="str"/>
      <c r="AN43" s="1" t="str"/>
      <c r="AO43" s="1" t="str"/>
      <c r="AP43" s="1" t="str"/>
      <c r="AQ43" s="1" t="str"/>
      <c r="AR43" s="1" t="str"/>
      <c r="AS43" s="1" t="str"/>
      <c r="AT43" s="1" t="str"/>
      <c r="AU43" s="1" t="str"/>
      <c r="AV43" s="1" t="str"/>
      <c r="AW43" s="1" t="str"/>
      <c r="AX43" s="1" t="str"/>
      <c r="AY43" s="1" t="str"/>
      <c r="AZ43" s="1" t="str"/>
      <c r="BA43" s="1" t="str"/>
      <c r="BB43" s="1" t="str"/>
      <c r="BC43" s="1" t="str"/>
      <c r="BD43" s="1" t="str"/>
      <c r="BE43" s="1" t="str"/>
      <c r="BF43" s="1" t="str"/>
      <c r="BG43" s="1" t="str"/>
      <c r="BH43" s="1" t="str"/>
    </row>
    <row customHeight="true" ht="16" r="44">
      <c r="A44" s="3" t="str">
        <v>一時休戦です（一时休战）</v>
      </c>
      <c r="H44" s="1" t="str"/>
      <c r="I44" t="str"/>
      <c r="J44" t="str"/>
      <c r="K44" s="3" t="str">
        <v>夏を満喫するわよ！（水枪）</v>
      </c>
      <c r="R44" t="str"/>
      <c r="S44" t="str"/>
      <c r="T44" t="str"/>
      <c r="U44" t="str">
        <v>「ア」じゃなくて「エ」！（黄补课）</v>
      </c>
      <c r="AB44" s="1" t="str"/>
      <c r="AC44" s="1" t="str"/>
      <c r="AD44" s="1" t="str"/>
      <c r="AE44" s="1" t="str">
        <v>第五種接近遭遇（电风扇）</v>
      </c>
      <c r="AL44" s="1" t="str"/>
      <c r="AM44" s="2" t="str">
        <v>道具属性</v>
      </c>
      <c r="AN44" s="25" t="str">
        <v>集中抓卡</v>
      </c>
      <c r="AO44" s="1" t="str">
        <v>キュっと締めて（sr蓝购物）</v>
      </c>
      <c r="AV44" s="1" t="str"/>
      <c r="AW44" s="1" t="str"/>
      <c r="AX44" s="1" t="str"/>
      <c r="AY44" s="1" t="str">
        <v>りっぱなすすき！（麦穗）</v>
      </c>
      <c r="BF44" s="1" t="str"/>
      <c r="BG44" s="1" t="str"/>
      <c r="BH44" s="1" t="str"/>
    </row>
    <row customHeight="true" ht="63" r="45">
      <c r="A45" s="13"/>
      <c r="C45" t="str">
        <v>破数</v>
      </c>
      <c r="D45" t="str"/>
      <c r="E45" t="str">
        <v>支给</v>
      </c>
      <c r="F45" s="8" t="str">
        <v>第一属性</v>
      </c>
      <c r="G45" s="5" t="str">
        <v>第二属性</v>
      </c>
      <c r="H45" s="6" t="str">
        <v>第三属性</v>
      </c>
      <c r="I45" t="str"/>
      <c r="J45" t="str"/>
      <c r="K45" s="13"/>
      <c r="M45" t="str">
        <v>破数</v>
      </c>
      <c r="N45" t="str">
        <v>m强化</v>
      </c>
      <c r="O45" t="str">
        <v>营业</v>
      </c>
      <c r="P45" s="8" t="str">
        <v>第一属性</v>
      </c>
      <c r="Q45" s="5" t="str">
        <v>第二属性</v>
      </c>
      <c r="R45" s="6" t="str">
        <v>第三属性</v>
      </c>
      <c r="S45" t="str"/>
      <c r="T45" t="str"/>
      <c r="U45" s="13"/>
      <c r="W45" t="str">
        <v>破数</v>
      </c>
      <c r="X45" t="str"/>
      <c r="Y45" t="str">
        <v>抓m卡</v>
      </c>
      <c r="Z45" s="8" t="str">
        <v>第一属性</v>
      </c>
      <c r="AA45" s="5" t="str">
        <v>第二属性</v>
      </c>
      <c r="AB45" s="6" t="str">
        <v>第三属性</v>
      </c>
      <c r="AC45" t="str"/>
      <c r="AD45" t="str"/>
      <c r="AG45" t="str">
        <v>破数</v>
      </c>
      <c r="AH45" t="str"/>
      <c r="AI45" t="str">
        <v>训练</v>
      </c>
      <c r="AJ45" s="8" t="str">
        <v>第一属性</v>
      </c>
      <c r="AK45" s="5" t="str">
        <v>第二属性</v>
      </c>
      <c r="AL45" s="6" t="str">
        <v>第三属性</v>
      </c>
      <c r="AM45" s="24">
        <f>AN45*6</f>
      </c>
      <c r="AN45" s="25">
        <v>10</v>
      </c>
      <c r="AO45" s="1"/>
      <c r="AQ45" t="str">
        <v>破数</v>
      </c>
      <c r="AR45" t="str"/>
      <c r="AS45" t="str">
        <v>训练</v>
      </c>
      <c r="AT45" s="8" t="str">
        <v>第一属性</v>
      </c>
      <c r="AU45" s="5" t="str">
        <v>第二属性</v>
      </c>
      <c r="AV45" s="6" t="str">
        <v>第三属性</v>
      </c>
      <c r="AW45" s="1" t="str"/>
      <c r="AX45" s="1" t="str"/>
      <c r="AY45" s="1"/>
      <c r="BA45" t="str">
        <v>破数</v>
      </c>
      <c r="BB45" t="str">
        <v>外出</v>
      </c>
      <c r="BC45" t="str">
        <v>sp训练</v>
      </c>
      <c r="BD45" s="8" t="str">
        <v>第一属性</v>
      </c>
      <c r="BE45" s="9" t="str">
        <v>第二属性</v>
      </c>
      <c r="BF45" s="6" t="str">
        <v>第三属性</v>
      </c>
      <c r="BG45" s="1" t="str"/>
      <c r="BH45" s="1" t="str"/>
    </row>
    <row customHeight="true" ht="16" r="46">
      <c r="C46" s="7">
        <v>4</v>
      </c>
      <c r="D46" t="str"/>
      <c r="E46">
        <f>IF(C46=-1,0,IF(C46&lt;=3,'词条'!C12,'词条'!D12))</f>
      </c>
      <c r="F46" s="8">
        <f>IF(C46=-1,0,IF('路线'!C6="计算",INT((C48/100)*'路线'!B11+D48*'路线'!B15+E46*'路线'!B34+E48+20),INT((C48/100)*'路线'!B11+D48*'路线'!B15+E46*'路线'!B34+E48)))</f>
      </c>
      <c r="G46" s="5">
        <f>IF(C46=-1,0,IF('路线'!C6="计算",INT((C48/100)*'路线'!B12+D48*'路线'!B18+E46*'路线'!B34+E48+20),INT((C48/100)*'路线'!B12+D48*'路线'!B18+E46*'路线'!B34+E48)))</f>
      </c>
      <c r="H46" s="6">
        <f>IF(C46=-1,0,IF('路线'!C6="计算",INT((C48/100)*'路线'!B13+D48*'路线'!B21+E46*'路线'!B34+E48+20),INT((C48/100)*'路线'!B13+D48*'路线'!B21+E46*'路线'!B34+E48)))</f>
      </c>
      <c r="I46" t="str"/>
      <c r="J46" t="str"/>
      <c r="M46" s="7">
        <v>4</v>
      </c>
      <c r="N46">
        <f>IF(M46=-1,0,IF(M46&lt;=1,'词条'!C10,'词条'!D11))</f>
      </c>
      <c r="O46">
        <f>IF(M46=-1,0,IF(M46&lt;=3,'词条'!C16,'词条'!D16))</f>
      </c>
      <c r="P46" s="8">
        <f>IF(M46=-1,0,INT((M48/100)*'路线'!B11+N46*'路线'!B29+N48*'路线'!B15+O46*'路线'!B30+O48))</f>
      </c>
      <c r="Q46" s="5">
        <f>IF(M46=-1,0,INT((M48/100)*'路线'!B12+N46*'路线'!B29+N48*'路线'!B18+O46*'路线'!B30+O48))</f>
      </c>
      <c r="R46" s="6">
        <f>IF(M46=-1,0,INT((M48/100)*'路线'!B13+N46*'路线'!B29+N48*'路线'!B21+O46*'路线'!B30+O48))</f>
      </c>
      <c r="S46" t="str"/>
      <c r="T46" t="str"/>
      <c r="W46" s="7">
        <v>4</v>
      </c>
      <c r="X46" t="str"/>
      <c r="Y46">
        <f>IF(W46=-1,0,IF(W46&lt;=3,'词条'!C13,'词条'!D13))</f>
      </c>
      <c r="Z46" s="8">
        <f>IF(W46=-1,0,IF('路线'!C6="计算",INT(W48+X48*'路线'!B14+Y46*'路线'!B24+Y48+20),INT(W48+X48*'路线'!B14+Y46*'路线'!B24+Y48)))</f>
      </c>
      <c r="AA46" s="5">
        <f>IF(W46=-1,0,IF('路线'!C6="计算",INT(W48+X48*'路线'!B17+Y46*'路线'!B24+Y48+20),INT(W48+X48*'路线'!B17+Y46*'路线'!B24+Y48)))</f>
      </c>
      <c r="AB46" s="6">
        <f>IF(W46=-1,0,IF('路线'!C6="计算",INT(W48+X48*'路线'!B20+Y46*'路线'!B24+Y48+20),INT(W48+X48*'路线'!B20+Y46*'路线'!B24+Y48)))</f>
      </c>
      <c r="AC46" t="str"/>
      <c r="AD46" t="str"/>
      <c r="AG46" s="7">
        <v>4</v>
      </c>
      <c r="AH46" t="str"/>
      <c r="AI46">
        <f>IF(AG46=-1,0,IF(AG46&lt;=3,'词条'!I6,'词条'!J6))</f>
      </c>
      <c r="AJ46" s="5">
        <f>IF(AG46=-1,0,INT((AG48/100)*'路线'!B11+AH48*'路线'!B33+AI46*'路线'!B14+AI48))</f>
      </c>
      <c r="AK46" s="5">
        <f>IF(AG46=-1,0,INT((AG48/100)*'路线'!B12+AH48*'路线'!B33+AI46*'路线'!B17+AI48))</f>
      </c>
      <c r="AL46" s="5">
        <f>IF(AG46=-1,0,INT((AG48/100)*'路线'!B13+AH48*'路线'!B33+AI46*'路线'!B20+AI48))</f>
      </c>
      <c r="AM46" s="2">
        <f>AJ46+AM45</f>
      </c>
      <c r="AN46" s="1" t="str"/>
      <c r="AQ46" s="7">
        <v>4</v>
      </c>
      <c r="AR46" t="str"/>
      <c r="AS46">
        <f>IF(AQ46=-1,0,IF(AQ46&lt;=3,'词条'!I6,'词条'!J6))</f>
      </c>
      <c r="AT46" s="5">
        <f>IF(AQ46=-1,0,INT(AQ48+AR48*'路线'!B39+AS46*'路线'!B14+AS48))</f>
      </c>
      <c r="AU46" s="5">
        <f>IF(AQ46=-1,0,INT(AQ48+AR48*'路线'!B39+AS46*'路线'!B17+AS48))</f>
      </c>
      <c r="AV46" s="9">
        <f>IF(AQ46=-1,0,INT(AQ48+AR48*'路线'!B39+AS46*'路线'!B20+AS48))</f>
      </c>
      <c r="AW46" s="1" t="str"/>
      <c r="AX46" s="1" t="str"/>
      <c r="BA46" s="7">
        <v>4</v>
      </c>
      <c r="BB46">
        <f>IF(BA46=-1,0,IF(BA46=0,'词条'!I17,'词条'!J17))</f>
      </c>
      <c r="BC46">
        <f>IF(BA46=-1,0,IF(BA46&lt;=3,'词条'!I7,'词条'!J7))</f>
      </c>
      <c r="BD46" s="5">
        <f>IF(BA46=-1,0,INT(BA48+BB46*'路线'!B31+BB48*'路线'!B34+BC46*'路线'!B15+BC48))</f>
      </c>
      <c r="BE46" s="5">
        <f>IF(BA46=-1,0,INT(BA48+BB46*'路线'!B31+BB48*'路线'!B34+BC46*'路线'!B18+BC48))</f>
      </c>
      <c r="BF46" s="9">
        <f>IF(BA46=-1,0,INT(BA48+BB46*'路线'!B31+BB48*'路线'!B34+BC46*'路线'!B21+BC48))</f>
      </c>
      <c r="BG46" s="1" t="str"/>
      <c r="BH46" s="1" t="str"/>
    </row>
    <row customHeight="true" ht="16" r="47">
      <c r="C47" t="str">
        <v>百分比</v>
      </c>
      <c r="D47" t="str">
        <v>sp训练</v>
      </c>
      <c r="E47" t="str">
        <v>事件</v>
      </c>
      <c r="F47" s="13" t="str"/>
      <c r="I47" t="str"/>
      <c r="J47" t="str"/>
      <c r="M47" t="str">
        <v>百分比</v>
      </c>
      <c r="N47" t="str">
        <v>sp训练</v>
      </c>
      <c r="O47" t="str">
        <v>事件</v>
      </c>
      <c r="P47" s="13" t="str"/>
      <c r="S47" t="str"/>
      <c r="T47" t="str"/>
      <c r="W47" t="str">
        <v>基础值</v>
      </c>
      <c r="X47" t="str">
        <v>训练</v>
      </c>
      <c r="Y47" t="str">
        <v>事件</v>
      </c>
      <c r="Z47" s="14" t="str">
        <v>SP</v>
      </c>
      <c r="AC47" t="str"/>
      <c r="AD47" t="str"/>
      <c r="AG47" t="str">
        <v>百分比</v>
      </c>
      <c r="AH47" t="str">
        <v>相谈</v>
      </c>
      <c r="AI47" t="str">
        <v>事件</v>
      </c>
      <c r="AJ47" s="13" t="str"/>
      <c r="AM47" s="2">
        <f>AK46+AM45</f>
      </c>
      <c r="AN47" s="1" t="str"/>
      <c r="AQ47" t="str">
        <v>基础值</v>
      </c>
      <c r="AR47" t="str">
        <v>相谈饮料</v>
      </c>
      <c r="AS47" t="str">
        <v>事件</v>
      </c>
      <c r="AT47" s="13" t="str"/>
      <c r="AW47" s="1" t="str"/>
      <c r="AX47" s="1" t="str"/>
      <c r="BA47" t="str">
        <v>基础值</v>
      </c>
      <c r="BB47" t="str">
        <v>支给</v>
      </c>
      <c r="BC47" t="str">
        <v>事件</v>
      </c>
      <c r="BD47" s="13" t="str"/>
      <c r="BG47" s="1" t="str"/>
      <c r="BH47" s="1" t="str"/>
    </row>
    <row customHeight="true" ht="16" r="48">
      <c r="C48">
        <f>IF(C46=-1,0,INDEX('词条'!C4:G4,C46+1))</f>
      </c>
      <c r="D48">
        <f>IF(C46=-1,0,IF(C46&lt;=2,'词条'!C7,'词条'!D7))</f>
      </c>
      <c r="E48">
        <f>IF(C46=-1,0,CHOOSE(C46+1,'词条'!C2,'词条'!D2,'词条'!D2,'词条'!D2,'词条'!E2))</f>
      </c>
      <c r="F48" s="10" t="str">
        <v>感性</v>
      </c>
      <c r="I48" t="str"/>
      <c r="J48" t="str"/>
      <c r="M48">
        <f>IF(M46=-1,0,INDEX('词条'!C4:G4,M46+1))</f>
      </c>
      <c r="N48">
        <f>IF(M46=-1,0,IF(M46&lt;=2,'词条'!C7,'词条'!D7))</f>
      </c>
      <c r="O48">
        <f>IF(M46=-1,0,CHOOSE(M46+1,'词条'!C2,'词条'!D2,'词条'!D2,'词条'!D2,'词条'!E2))</f>
      </c>
      <c r="P48" s="12" t="str">
        <v>理性</v>
      </c>
      <c r="S48" t="str"/>
      <c r="T48" t="str"/>
      <c r="W48">
        <f>IF(W46=-1,0,INDEX('词条'!C3:G3,W46+1))</f>
      </c>
      <c r="X48">
        <f>IF(W46=-1,0,IF(W46&lt;=2,'词条'!C6,'词条'!D6))</f>
      </c>
      <c r="Y48">
        <f>IF(W46=-1,0,CHOOSE(W46+1,'词条'!C2,'词条'!D2,'词条'!D2,'词条'!D2,'词条'!E2))</f>
      </c>
      <c r="Z48" s="12" t="str">
        <v>理性</v>
      </c>
      <c r="AC48" t="str"/>
      <c r="AD48" t="str"/>
      <c r="AG48">
        <f>IF(AG46=-1,0,INDEX('词条'!I4:M4,AG46+1))</f>
      </c>
      <c r="AH48">
        <f>IF(AG46=-1,0,IF(AG46&lt;=2,'词条'!I18,'词条'!J18))</f>
      </c>
      <c r="AI48">
        <f>IF(AG46=-1,0,CHOOSE(AG46+1,'词条'!I2,'词条'!I2,'词条'!J2,'词条'!J2,'词条'!K2))</f>
      </c>
      <c r="AJ48" s="10" t="str">
        <v>感性</v>
      </c>
      <c r="AM48" s="2">
        <f>AL46+AM45</f>
      </c>
      <c r="AN48" s="1" t="str"/>
      <c r="AQ48">
        <f>IF(AQ46=-1,0,INDEX('词条'!I3:M3,AQ46+1))</f>
      </c>
      <c r="AR48">
        <f>IF(AQ46=-1,0,IF(AQ46&lt;=2,'词条'!I20,'词条'!J20))</f>
      </c>
      <c r="AS48">
        <f>IF(AQ46=-1,0,CHOOSE(AQ46+1,'词条'!I2,'词条'!I2,'词条'!J2,'词条'!J2,'词条'!K2))</f>
      </c>
      <c r="AT48" s="10" t="str">
        <v>感性</v>
      </c>
      <c r="AW48" s="1" t="str"/>
      <c r="AX48" s="1" t="str"/>
      <c r="BA48">
        <f>IF(BA46=-1,0,INDEX('词条'!I3:M3,BA46+1))</f>
      </c>
      <c r="BB48">
        <f>IF(BA46=-1,0,IF(BA46&lt;=2,'词条'!I12,'词条'!J12))</f>
      </c>
      <c r="BC48">
        <f>IF(BA46=-1,0,CHOOSE(BA46+1,'词条'!I2,'词条'!I2,'词条'!J2,'词条'!J2,'词条'!K2))</f>
      </c>
      <c r="BD48" s="12" t="str">
        <v>理性</v>
      </c>
      <c r="BG48" s="1" t="str"/>
      <c r="BH48" s="1" t="str"/>
    </row>
    <row customHeight="true" ht="16" r="49">
      <c r="A49" s="1" t="str"/>
      <c r="B49" s="1" t="str"/>
      <c r="C49" s="1" t="str"/>
      <c r="D49" s="1" t="str"/>
      <c r="E49" s="1" t="str"/>
      <c r="F49" s="1" t="str"/>
      <c r="G49" s="1" t="str"/>
      <c r="H49" s="1" t="str"/>
      <c r="I49" s="1" t="str"/>
      <c r="J49" s="1" t="str"/>
      <c r="K49" s="1" t="str"/>
      <c r="L49" s="1" t="str"/>
      <c r="M49" s="1" t="str"/>
      <c r="N49" s="1" t="str"/>
      <c r="O49" s="1" t="str"/>
      <c r="P49" s="1" t="str"/>
      <c r="Q49" s="1" t="str"/>
      <c r="R49" s="1" t="str"/>
      <c r="S49" s="1" t="str"/>
      <c r="T49" s="1" t="str"/>
      <c r="U49" s="1" t="str"/>
      <c r="V49" s="1" t="str"/>
      <c r="W49" s="1" t="str"/>
      <c r="X49" s="1" t="str"/>
      <c r="Y49" s="1" t="str"/>
      <c r="Z49" s="1" t="str"/>
      <c r="AA49" s="1" t="str"/>
      <c r="AB49" s="1" t="str"/>
      <c r="AC49" s="1" t="str"/>
      <c r="AD49" s="1" t="str"/>
      <c r="AE49" s="1" t="str"/>
      <c r="AF49" s="1" t="str"/>
      <c r="AG49" s="1" t="str"/>
      <c r="AH49" s="1" t="str"/>
      <c r="AI49" s="1" t="str"/>
      <c r="AJ49" s="1" t="str"/>
      <c r="AK49" s="1" t="str"/>
      <c r="AL49" s="1" t="str"/>
      <c r="AM49" s="1" t="str"/>
      <c r="AN49" s="1" t="str"/>
      <c r="AO49" s="1" t="str"/>
      <c r="AP49" s="1" t="str"/>
      <c r="AQ49" s="1" t="str"/>
      <c r="AR49" s="1" t="str"/>
      <c r="AS49" s="1" t="str"/>
      <c r="AT49" s="1" t="str"/>
      <c r="AU49" s="1" t="str"/>
      <c r="AV49" s="1" t="str"/>
      <c r="AW49" s="1" t="str"/>
      <c r="AX49" s="1" t="str"/>
      <c r="AY49" s="1" t="str"/>
      <c r="AZ49" s="1" t="str"/>
      <c r="BA49" s="1" t="str"/>
      <c r="BB49" s="1" t="str"/>
      <c r="BC49" s="1" t="str"/>
      <c r="BD49" s="1" t="str"/>
      <c r="BE49" s="1" t="str"/>
      <c r="BF49" s="1" t="str"/>
      <c r="BG49" s="1" t="str"/>
      <c r="BH49" s="1" t="str"/>
    </row>
    <row customHeight="true" ht="16" r="50">
      <c r="A50" s="3" t="str">
        <v>夏を楽しみましょう！（红购物）</v>
      </c>
      <c r="H50" s="1" t="str"/>
      <c r="I50" t="str"/>
      <c r="J50" t="str"/>
      <c r="K50" t="str">
        <v>あっちも行きたいですわ！（大饮料）</v>
      </c>
      <c r="R50" t="str"/>
      <c r="S50" t="str"/>
      <c r="T50" t="str"/>
      <c r="U50" t="str">
        <v>花火、やりませんか……？（花火）</v>
      </c>
      <c r="AB50" s="1" t="str"/>
      <c r="AC50" s="1" t="str"/>
      <c r="AD50" s="1" t="str"/>
      <c r="AE50" s="1" t="str">
        <v>ブレイクタイムは珈琲で（sr红购物）</v>
      </c>
      <c r="AL50" s="1" t="str"/>
      <c r="AM50" s="1" t="str"/>
      <c r="AN50" s="1" t="str"/>
      <c r="AO50" s="1" t="str">
        <v>千奈の恩返し（恩返）</v>
      </c>
      <c r="AV50" s="1" t="str"/>
      <c r="AW50" s="1" t="str"/>
      <c r="AX50" s="1" t="str"/>
      <c r="AY50" s="1" t="str">
        <v>SSDのひみつ（悄悄话）</v>
      </c>
      <c r="BF50" s="1" t="str"/>
      <c r="BG50" s="1" t="str"/>
      <c r="BH50" s="1" t="str"/>
    </row>
    <row customHeight="true" ht="63" r="51">
      <c r="A51" s="13"/>
      <c r="C51" t="str">
        <v>破数</v>
      </c>
      <c r="D51" t="str"/>
      <c r="E51" t="str">
        <v>相谈饮料</v>
      </c>
      <c r="F51" s="8" t="str">
        <v>第一属性</v>
      </c>
      <c r="G51" s="5" t="str">
        <v>第二属性</v>
      </c>
      <c r="H51" s="6" t="str">
        <v>第三属性</v>
      </c>
      <c r="I51" t="str"/>
      <c r="J51" t="str"/>
      <c r="K51" s="13"/>
      <c r="M51" t="str">
        <v>破数</v>
      </c>
      <c r="N51" t="str"/>
      <c r="O51" t="str">
        <v>抓a卡</v>
      </c>
      <c r="P51" s="8" t="str">
        <v>第一属性</v>
      </c>
      <c r="Q51" s="5" t="str">
        <v>第二属性</v>
      </c>
      <c r="R51" s="6" t="str">
        <v>第三属性</v>
      </c>
      <c r="S51" t="str"/>
      <c r="T51" t="str"/>
      <c r="U51" s="13"/>
      <c r="W51" t="str">
        <v>破数</v>
      </c>
      <c r="X51" t="str">
        <v>抓a卡</v>
      </c>
      <c r="Y51" t="str">
        <v>相谈</v>
      </c>
      <c r="Z51" s="8" t="str">
        <v>第一属性</v>
      </c>
      <c r="AA51" s="5" t="str">
        <v>第二属性</v>
      </c>
      <c r="AB51" s="6" t="str">
        <v>第三属性</v>
      </c>
      <c r="AC51" t="str"/>
      <c r="AD51" t="str"/>
      <c r="AG51" t="str">
        <v>破数</v>
      </c>
      <c r="AH51" t="str"/>
      <c r="AI51" t="str">
        <v>训练</v>
      </c>
      <c r="AJ51" s="8" t="str">
        <v>第一属性</v>
      </c>
      <c r="AK51" s="5" t="str">
        <v>第二属性</v>
      </c>
      <c r="AL51" s="6" t="str">
        <v>第三属性</v>
      </c>
      <c r="AM51" t="str"/>
      <c r="AN51" s="1" t="str"/>
      <c r="AO51" s="1"/>
      <c r="AQ51" t="str">
        <v>破数</v>
      </c>
      <c r="AR51" t="str">
        <v>删卡</v>
      </c>
      <c r="AS51" t="str">
        <v>sp训练</v>
      </c>
      <c r="AT51" s="8" t="str">
        <v>第一属性</v>
      </c>
      <c r="AU51" s="5" t="str">
        <v>第二属性</v>
      </c>
      <c r="AV51" s="6" t="str">
        <v>第三属性</v>
      </c>
      <c r="AW51" s="1" t="str"/>
      <c r="AX51" s="1" t="str"/>
      <c r="AY51" s="1"/>
      <c r="BA51" t="str">
        <v>破数</v>
      </c>
      <c r="BB51" t="str"/>
      <c r="BC51" t="str">
        <v>sp训练</v>
      </c>
      <c r="BD51" s="8" t="str">
        <v>第一属性</v>
      </c>
      <c r="BE51" s="9" t="str">
        <v>第二属性</v>
      </c>
      <c r="BF51" s="6" t="str">
        <v>第三属性</v>
      </c>
      <c r="BG51" s="1" t="str"/>
      <c r="BH51" s="1" t="str"/>
    </row>
    <row customHeight="true" ht="16" r="52">
      <c r="C52" s="7">
        <v>4</v>
      </c>
      <c r="D52" t="str"/>
      <c r="E52">
        <f>IF(C52=-1,0,IF(C52&lt;=3,'词条'!C20,'词条'!D20))</f>
      </c>
      <c r="F52" s="8">
        <f>IF(C52=-1,0,INT((C54/100)*'路线'!B11+D54*'路线'!B15+E52*'路线'!B39+E54))</f>
      </c>
      <c r="G52" s="5">
        <f>IF(C52=-1,0,INT((C54/100)*'路线'!B12+D54*'路线'!B18+E52*'路线'!B39+E54))</f>
      </c>
      <c r="H52" s="6">
        <f>IF(C52=-1,0,INT((C54/100)*'路线'!B13+D54*'路线'!B21+E52*'路线'!B39+E54))</f>
      </c>
      <c r="I52" t="str"/>
      <c r="J52" t="str"/>
      <c r="M52" s="7">
        <v>4</v>
      </c>
      <c r="N52" t="str"/>
      <c r="O52">
        <f>IF(M52=-1,0,IF(M52&lt;=3,'词条'!C14,'词条'!D14))</f>
      </c>
      <c r="P52" s="8">
        <f>IF(M52=-1,0,INT(M54+N54*'路线'!B15+O52*'路线'!B23+O54))</f>
      </c>
      <c r="Q52" s="5">
        <f>IF(M52=-1,0,INT(M54+N54*'路线'!B18+O52*'路线'!B23+O54))</f>
      </c>
      <c r="R52" s="6">
        <f>IF(M52=-1,0,INT(M54+N54*'路线'!B21+O52*'路线'!B23+O54))</f>
      </c>
      <c r="S52" t="str"/>
      <c r="T52" t="str"/>
      <c r="W52" s="7">
        <v>4</v>
      </c>
      <c r="X52">
        <f>IF(W52=-1,0,IF(W52&lt;=1,'词条'!C14,'词条'!D14))</f>
      </c>
      <c r="Y52">
        <f>IF(W52=-1,0,IF(W52&lt;=3,'词条'!C18,'词条'!D18))</f>
      </c>
      <c r="Z52" s="8">
        <f>IF(W52=-1,0,IF('路线'!C6="计算",INT((W54/100)*'路线'!B11+X52*'路线'!B23+X54*'路线'!B15+Y52*'路线'!B33+Y54+20),INT((W54/100)*'路线'!B11+X52*'路线'!B23+X54*'路线'!B15+Y52*'路线'!B33+Y54)))</f>
      </c>
      <c r="AA52" s="5">
        <f>IF(W52=-1,0,IF('路线'!C6="计算",INT((W54/100)*'路线'!B12+X52*'路线'!B23+X54*'路线'!B18+Y52*'路线'!B33+Y54+20),INT((W54/100)*'路线'!B12+X52*'路线'!B23+X54*'路线'!B18+Y52*'路线'!B33+Y54)))</f>
      </c>
      <c r="AB52" s="6">
        <f>IF(W52=-1,0,IF('路线'!C6="计算",INT((W54/100)*'路线'!B13+X52*'路线'!B23+X54*'路线'!B21+Y52*'路线'!B33+Y54+20),INT((W54/100)*'路线'!B13+X52*'路线'!B23+X54*'路线'!B21+Y52*'路线'!B33+Y54)))</f>
      </c>
      <c r="AC52" t="str"/>
      <c r="AD52" t="str"/>
      <c r="AG52" s="7">
        <v>4</v>
      </c>
      <c r="AH52" t="str"/>
      <c r="AI52">
        <f>IF(AG52=-1,0,IF(AG52&lt;=3,'词条'!I6,'词条'!J6))</f>
      </c>
      <c r="AJ52" s="5">
        <f>IF(AG52=-1,0,INT(AG54+AH54*'路线'!B39+AI52*'路线'!B14+AI54))</f>
      </c>
      <c r="AK52" s="5">
        <f>IF(AG52=-1,0,INT(AG54+AH54*'路线'!B39+AI52*'路线'!B17+AI54))</f>
      </c>
      <c r="AL52" s="5">
        <f>IF(AG52=-1,0,INT(AG54+AH54*'路线'!B39+AI52*'路线'!B20+AI54))</f>
      </c>
      <c r="AM52" t="str"/>
      <c r="AN52" s="1" t="str"/>
      <c r="AQ52" s="7">
        <v>4</v>
      </c>
      <c r="AR52">
        <f>IF(AQ52=-1,0,IF(AQ52=0,'词条'!I22,'词条'!J22))</f>
      </c>
      <c r="AS52">
        <f>IF(AQ52=-1,0,IF(AQ52&lt;=3,'词条'!I7,'词条'!J7))</f>
      </c>
      <c r="AT52" s="5">
        <f>IF(AQ52=-1,0,INT((AQ54/100)*'路线'!B11+AR52*'路线'!B35+AR54*'路线'!B34+AS52*'路线'!B15+AS54))</f>
      </c>
      <c r="AU52" s="5">
        <f>IF(AQ52=-1,0,INT((AQ54/100)*'路线'!B12+AR52*'路线'!B35+AR54*'路线'!B34+AS52*'路线'!B18+AS54))</f>
      </c>
      <c r="AV52" s="9">
        <f>IF(AQ52=-1,0,INT((AQ54/100)*'路线'!B13+AR52*'路线'!B35+AR54*'路线'!B34+AS52*'路线'!B21+AS54))</f>
      </c>
      <c r="AW52" s="1" t="str"/>
      <c r="AX52" s="1" t="str"/>
      <c r="BA52" s="7">
        <v>4</v>
      </c>
      <c r="BB52" t="str"/>
      <c r="BC52">
        <f>IF(BA52=-1,0,IF(BA52&lt;=3,'词条'!I7,'词条'!J7))</f>
      </c>
      <c r="BD52" s="5">
        <f>IF(BA52=-1,0,INT(BA54+BB54*'路线'!B34+BC52*'路线'!B15+BC54))</f>
      </c>
      <c r="BE52" s="5">
        <f>IF(BA52=-1,0,INT(BA54+BB54*'路线'!B34+BC52*'路线'!B18+BC54))</f>
      </c>
      <c r="BF52" s="9">
        <f>IF(BA52=-1,0,INT(BA54+BB54*'路线'!B34+BC52*'路线'!B21+BC54))</f>
      </c>
      <c r="BG52" s="1" t="str"/>
      <c r="BH52" s="1" t="str"/>
    </row>
    <row customHeight="true" ht="16" r="53">
      <c r="C53" t="str">
        <v>百分比</v>
      </c>
      <c r="D53" t="str">
        <v>sp训练</v>
      </c>
      <c r="E53" t="str">
        <v>事件</v>
      </c>
      <c r="F53" s="13" t="str"/>
      <c r="I53" t="str"/>
      <c r="J53" t="str"/>
      <c r="M53" t="str">
        <v>基础值</v>
      </c>
      <c r="N53" t="str">
        <v>sp训练</v>
      </c>
      <c r="O53" t="str">
        <v>事件</v>
      </c>
      <c r="P53" s="14" t="str">
        <v>SP</v>
      </c>
      <c r="S53" t="str"/>
      <c r="T53" t="str"/>
      <c r="W53" t="str">
        <v>百分比</v>
      </c>
      <c r="X53" t="str">
        <v>sp训练</v>
      </c>
      <c r="Y53" t="str">
        <v>事件</v>
      </c>
      <c r="Z53" s="13" t="str"/>
      <c r="AC53" t="str"/>
      <c r="AD53" t="str"/>
      <c r="AG53" t="str">
        <v>基础值</v>
      </c>
      <c r="AH53" t="str">
        <v>相谈饮料</v>
      </c>
      <c r="AI53" t="str">
        <v>事件</v>
      </c>
      <c r="AJ53" s="13" t="str"/>
      <c r="AM53" t="str"/>
      <c r="AN53" s="1" t="str"/>
      <c r="AQ53" t="str">
        <v>百分比</v>
      </c>
      <c r="AR53" t="str">
        <v>支给</v>
      </c>
      <c r="AS53" t="str">
        <v>事件</v>
      </c>
      <c r="AT53" s="13" t="str"/>
      <c r="AW53" s="1" t="str"/>
      <c r="AX53" s="1" t="str"/>
      <c r="BA53" t="str">
        <v>基础值</v>
      </c>
      <c r="BB53" t="str">
        <v>支给</v>
      </c>
      <c r="BC53" t="str">
        <v>事件</v>
      </c>
      <c r="BD53" s="14" t="str">
        <v>SP</v>
      </c>
      <c r="BG53" s="1" t="str"/>
      <c r="BH53" s="1" t="str"/>
    </row>
    <row customHeight="true" ht="16" r="54">
      <c r="C54">
        <f>IF(C52=-1,0,INDEX('词条'!C4:G4,C52+1))</f>
      </c>
      <c r="D54">
        <f>IF(C52=-1,0,IF(C52&lt;=2,'词条'!C7,'词条'!D7))</f>
      </c>
      <c r="E54">
        <f>IF(C52=-1,0,CHOOSE(C52+1,'词条'!C2,'词条'!D2,'词条'!D2,'词条'!D2,'词条'!E2))</f>
      </c>
      <c r="F54" s="10" t="str">
        <v>感性</v>
      </c>
      <c r="I54" t="str"/>
      <c r="J54" t="str"/>
      <c r="M54">
        <f>IF(M52=-1,0,INDEX('词条'!C3:G3,M52+1))</f>
      </c>
      <c r="N54">
        <f>IF(M52=-1,0,IF(M52&lt;=2,'词条'!C7,'词条'!D7))</f>
      </c>
      <c r="O54">
        <f>IF(M52=-1,0,CHOOSE(M52+1,'词条'!C2,'词条'!D2,'词条'!D2,'词条'!D2,'词条'!E2))</f>
      </c>
      <c r="P54" s="10" t="str">
        <v>感性</v>
      </c>
      <c r="S54" t="str"/>
      <c r="T54" t="str"/>
      <c r="W54">
        <f>IF(W52=-1,0,INDEX('词条'!C4:G4,W52+1))</f>
      </c>
      <c r="X54">
        <f>IF(W52=-1,0,IF(W52&lt;=2,'词条'!C7,'词条'!D7))</f>
      </c>
      <c r="Y54">
        <f>IF(W52=-1,0,CHOOSE(W52+1,'词条'!C2,'词条'!D2,'词条'!D2,'词条'!D2,'词条'!E2))</f>
      </c>
      <c r="Z54" s="10" t="str">
        <v>感性</v>
      </c>
      <c r="AC54" t="str"/>
      <c r="AD54" t="str"/>
      <c r="AG54">
        <f>IF(AG52=-1,0,INDEX('词条'!I3:M3,AG52+1))</f>
      </c>
      <c r="AH54">
        <f>IF(AG52=-1,0,IF(AG52&lt;=2,'词条'!I20,'词条'!J20))</f>
      </c>
      <c r="AI54">
        <f>IF(AG52=-1,0,CHOOSE(AG52+1,'词条'!I2,'词条'!I2,'词条'!J2,'词条'!J2,'词条'!K2))</f>
      </c>
      <c r="AJ54" s="12" t="str">
        <v>理性</v>
      </c>
      <c r="AM54" t="str"/>
      <c r="AN54" s="1" t="str"/>
      <c r="AQ54">
        <f>IF(AQ52=-1,0,INDEX('词条'!I4:M4,AQ52+1))</f>
      </c>
      <c r="AR54">
        <f>IF(AQ52=-1,0,IF(AQ52&lt;=2,'词条'!I12,'词条'!J12))</f>
      </c>
      <c r="AS54">
        <f>IF(AQ52=-1,0,CHOOSE(AQ52+1,'词条'!I2,'词条'!I2,'词条'!J2,'词条'!J2,'词条'!K2))</f>
      </c>
      <c r="AT54" s="12" t="str">
        <v>理性</v>
      </c>
      <c r="AW54" s="1" t="str"/>
      <c r="AX54" s="1" t="str"/>
      <c r="BA54">
        <f>IF(BA52=-1,0,INDEX('词条'!I3:M3,BA52+1))</f>
      </c>
      <c r="BB54">
        <f>IF(BA52=-1,0,IF(BA52&lt;=2,'词条'!I12,'词条'!J12))</f>
      </c>
      <c r="BC54">
        <f>IF(BA52=-1,0,CHOOSE(BA52+1,'词条'!I2,'词条'!I2,'词条'!J2,'词条'!J2,'词条'!K2))</f>
      </c>
      <c r="BD54" s="12" t="str">
        <v>理性</v>
      </c>
      <c r="BG54" s="1" t="str"/>
      <c r="BH54" s="1" t="str"/>
    </row>
    <row customHeight="true" ht="16" r="55">
      <c r="A55" s="1" t="str"/>
      <c r="B55" s="1" t="str"/>
      <c r="C55" s="1" t="str"/>
      <c r="D55" s="1" t="str"/>
      <c r="E55" s="1" t="str"/>
      <c r="F55" s="1" t="str"/>
      <c r="G55" s="1" t="str"/>
      <c r="H55" s="1" t="str"/>
      <c r="I55" s="1" t="str"/>
      <c r="J55" s="1" t="str"/>
      <c r="K55" s="1" t="str"/>
      <c r="L55" s="1" t="str"/>
      <c r="M55" s="1" t="str"/>
      <c r="N55" s="1" t="str"/>
      <c r="O55" s="1" t="str"/>
      <c r="P55" s="1" t="str"/>
      <c r="Q55" s="1" t="str"/>
      <c r="R55" s="1" t="str"/>
      <c r="S55" s="1" t="str"/>
      <c r="T55" s="1" t="str"/>
      <c r="U55" s="1" t="str"/>
      <c r="V55" s="1" t="str"/>
      <c r="W55" s="1" t="str"/>
      <c r="X55" s="1" t="str"/>
      <c r="Y55" s="1" t="str"/>
      <c r="Z55" s="1" t="str"/>
      <c r="AA55" s="1" t="str"/>
      <c r="AB55" s="1" t="str"/>
      <c r="AC55" s="1" t="str"/>
      <c r="AD55" s="1" t="str"/>
      <c r="AE55" s="1" t="str"/>
      <c r="AF55" s="1" t="str"/>
      <c r="AG55" s="1" t="str"/>
      <c r="AH55" s="1" t="str"/>
      <c r="AI55" s="1" t="str"/>
      <c r="AJ55" s="1" t="str"/>
      <c r="AK55" s="1" t="str"/>
      <c r="AL55" s="1" t="str"/>
      <c r="AM55" s="1" t="str"/>
      <c r="AN55" s="1" t="str"/>
      <c r="AO55" s="1" t="str"/>
      <c r="AP55" s="1" t="str"/>
      <c r="AQ55" s="1" t="str"/>
      <c r="AR55" s="1" t="str"/>
      <c r="AS55" s="1" t="str"/>
      <c r="AT55" s="1" t="str"/>
      <c r="AU55" s="1" t="str"/>
      <c r="AV55" s="1" t="str"/>
      <c r="AW55" s="1" t="str"/>
      <c r="AX55" s="1" t="str"/>
      <c r="AY55" s="1" t="str"/>
      <c r="AZ55" s="1" t="str"/>
      <c r="BA55" s="1" t="str"/>
      <c r="BB55" s="1" t="str"/>
      <c r="BC55" s="1" t="str"/>
      <c r="BD55" s="1" t="str"/>
      <c r="BE55" s="1" t="str"/>
      <c r="BF55" s="1" t="str"/>
      <c r="BG55" s="1" t="str"/>
      <c r="BH55" s="1" t="str"/>
    </row>
    <row customHeight="true" ht="16" r="56">
      <c r="A56" t="str">
        <v>1人たりとも欠ける事なく（一年二班）</v>
      </c>
      <c r="H56" s="1" t="str"/>
      <c r="I56" t="str"/>
      <c r="J56" t="str"/>
      <c r="K56" t="str">
        <v>似合うんじゃない？（气球）</v>
      </c>
      <c r="R56" t="str"/>
      <c r="S56" t="str"/>
      <c r="T56" t="str"/>
      <c r="U56" s="3" t="str">
        <v>ゆっくりと過ごしましょう（黄购物）</v>
      </c>
      <c r="AB56" s="1" t="str"/>
      <c r="AC56" s="1" t="str"/>
      <c r="AD56" s="1" t="str"/>
      <c r="AE56" s="1" t="str">
        <v>興味深い飲み物（姐汁）</v>
      </c>
      <c r="AL56" s="1" t="str"/>
      <c r="AM56" s="1" t="str"/>
      <c r="AN56" s="1" t="str"/>
      <c r="AO56" s="1" t="str">
        <v>トンボをつかまえて（小秋见）</v>
      </c>
      <c r="AV56" s="1" t="str"/>
      <c r="AW56" s="1" t="str"/>
      <c r="AX56" s="1" t="str"/>
      <c r="AY56" s="1" t="str">
        <v>サンマ、パタパタ（千奈做饭）</v>
      </c>
      <c r="BF56" s="1" t="str"/>
      <c r="BG56" s="1" t="str"/>
      <c r="BH56" s="1" t="str"/>
    </row>
    <row customHeight="true" ht="63" r="57">
      <c r="A57" s="13"/>
      <c r="C57" t="str">
        <v>破数</v>
      </c>
      <c r="D57" t="str"/>
      <c r="E57" t="str">
        <v>相谈</v>
      </c>
      <c r="F57" s="8" t="str">
        <v>第一属性</v>
      </c>
      <c r="G57" s="5" t="str">
        <v>第二属性</v>
      </c>
      <c r="H57" s="6" t="str">
        <v>第三属性</v>
      </c>
      <c r="I57" t="str"/>
      <c r="J57" t="str"/>
      <c r="K57" s="13"/>
      <c r="M57" t="str">
        <v>破数</v>
      </c>
      <c r="N57" t="str"/>
      <c r="O57" t="str">
        <v>外出</v>
      </c>
      <c r="P57" s="8" t="str">
        <v>第一属性</v>
      </c>
      <c r="Q57" s="5" t="str">
        <v>第二属性</v>
      </c>
      <c r="R57" s="6" t="str">
        <v>第三属性</v>
      </c>
      <c r="S57" t="str"/>
      <c r="T57" t="str"/>
      <c r="U57" s="13"/>
      <c r="W57" t="str">
        <v>破数</v>
      </c>
      <c r="X57" t="str"/>
      <c r="Y57" t="str">
        <v>相谈饮料</v>
      </c>
      <c r="Z57" s="8" t="str">
        <v>第一属性</v>
      </c>
      <c r="AA57" s="5" t="str">
        <v>第二属性</v>
      </c>
      <c r="AB57" s="6" t="str">
        <v>第三属性</v>
      </c>
      <c r="AC57" t="str"/>
      <c r="AD57" t="str"/>
      <c r="AG57" t="str">
        <v>破数</v>
      </c>
      <c r="AH57" t="str"/>
      <c r="AI57" t="str">
        <v>sp训练</v>
      </c>
      <c r="AJ57" s="8" t="str">
        <v>第一属性</v>
      </c>
      <c r="AK57" s="5" t="str">
        <v>第二属性</v>
      </c>
      <c r="AL57" s="6" t="str">
        <v>第三属性</v>
      </c>
      <c r="AM57" t="str"/>
      <c r="AN57" s="1" t="str"/>
      <c r="AO57" s="1"/>
      <c r="AQ57" t="str">
        <v>破数</v>
      </c>
      <c r="AR57" t="str">
        <v>强化</v>
      </c>
      <c r="AS57" t="str">
        <v>sp训练</v>
      </c>
      <c r="AT57" s="8" t="str">
        <v>第一属性</v>
      </c>
      <c r="AU57" s="5" t="str">
        <v>第二属性</v>
      </c>
      <c r="AV57" s="6" t="str">
        <v>第三属性</v>
      </c>
      <c r="AW57" s="1" t="str"/>
      <c r="AX57" s="1" t="str"/>
      <c r="AY57" s="1"/>
      <c r="BA57" t="str">
        <v>破数</v>
      </c>
      <c r="BB57" t="str"/>
      <c r="BC57" t="str">
        <v>sp训练</v>
      </c>
      <c r="BD57" s="5" t="str">
        <v>第一属性</v>
      </c>
      <c r="BE57" s="9" t="str">
        <v>第二属性</v>
      </c>
      <c r="BF57" s="5" t="str">
        <v>第三属性</v>
      </c>
      <c r="BG57" s="1" t="str"/>
      <c r="BH57" s="1" t="str"/>
    </row>
    <row customHeight="true" ht="16" r="58">
      <c r="C58" s="7">
        <v>4</v>
      </c>
      <c r="D58" t="str"/>
      <c r="E58">
        <f>IF(C58=-1,0,IF(C58&lt;=3,'词条'!F18,'词条'!G18))</f>
      </c>
      <c r="F58" s="8">
        <f>IF(C58=-1,0,INT(C60+E58*'路线'!B33+E60))</f>
      </c>
      <c r="G58" s="5">
        <f>IF(C58=-1,0,INT(C60+E58*'路线'!B33+E60))</f>
      </c>
      <c r="H58" s="6">
        <f>IF(C58=-1,0,INT(C60+E58*'路线'!B33+E60))</f>
      </c>
      <c r="I58" t="str"/>
      <c r="J58" t="str"/>
      <c r="M58" s="7">
        <v>4</v>
      </c>
      <c r="N58" t="str"/>
      <c r="O58">
        <f>IF(M58=-1,0,IF(M58&lt;=3,'词条'!C17,'词条'!D17))</f>
      </c>
      <c r="P58" s="8">
        <f>IF(M58=-1,0,INT((M60/100)*'路线'!B11+N60*'路线'!B15+O58*'路线'!B31+O60))</f>
      </c>
      <c r="Q58" s="5">
        <f>IF(M58=-1,0,INT((M60/100)*'路线'!B12+N60*'路线'!B18+O58*'路线'!B31+O60))</f>
      </c>
      <c r="R58" s="6">
        <f>IF(M58=-1,0,INT((M60/100)*'路线'!B13+N60*'路线'!B21+O58*'路线'!B31+O60))</f>
      </c>
      <c r="S58" t="str"/>
      <c r="T58" t="str"/>
      <c r="W58" s="7">
        <v>4</v>
      </c>
      <c r="X58" t="str"/>
      <c r="Y58">
        <f>IF(W58=-1,0,IF(W58&lt;=3,'词条'!C20,'词条'!D20))</f>
      </c>
      <c r="Z58" s="8">
        <f>IF(W58=-1,0,IF('路线'!C6="计算",INT(W60+X60*'路线'!B15+Y58*'路线'!B39+Y60+20),INT(W60+X60*'路线'!B15+Y58*'路线'!B39+Y60)))</f>
      </c>
      <c r="AA58" s="5">
        <f>IF(W58=-1,0,IF('路线'!C6="计算",INT(W60+X60*'路线'!B18+Y58*'路线'!B39+Y60+20),INT(W60+X60*'路线'!B18+Y58*'路线'!B39+Y60)))</f>
      </c>
      <c r="AB58" s="6">
        <f>IF(W58=-1,0,IF('路线'!C6="计算",INT(W60+X60*'路线'!B21+Y58*'路线'!B39+Y60+20),INT(W60+X60*'路线'!B21+Y58*'路线'!B39+Y60)))</f>
      </c>
      <c r="AC58" t="str"/>
      <c r="AD58" t="str"/>
      <c r="AG58" s="7">
        <v>4</v>
      </c>
      <c r="AH58" t="str"/>
      <c r="AI58">
        <f>IF(AG58=-1,0,IF(AG58&lt;=3,'词条'!I7,'词条'!J7))</f>
      </c>
      <c r="AJ58" s="5">
        <f>IF(AG58=-1,0,IF('路线'!C6="计算",INT(AG60+AH60*'路线'!B30+AI58*'路线'!B15+AI60+20),INT(AG60+AH60*'路线'!B30+AI58*'路线'!B15+AI60)))</f>
      </c>
      <c r="AK58" s="5">
        <f>IF(AG58=-1,0,IF('路线'!C6="计算",INT(AG60+AH60*'路线'!B30+AI58*'路线'!B18+AI60+20),INT(AG60+AH60*'路线'!B30+AI58*'路线'!B18+AI60)))</f>
      </c>
      <c r="AL58" s="5">
        <f>IF(AG58=-1,0,IF('路线'!C6="计算",INT(AG60+AH60*'路线'!B30+AI58*'路线'!B21+AI60+20),INT(AG60+AH60*'路线'!B30+AI58*'路线'!B21+AI60)))</f>
      </c>
      <c r="AM58" t="str"/>
      <c r="AN58" s="1" t="str"/>
      <c r="AQ58" s="7">
        <v>4</v>
      </c>
      <c r="AR58">
        <f>IF(AQ58=-1,0,IF(AQ58=0,'词条'!I9,'词条'!J9))</f>
      </c>
      <c r="AS58">
        <f>IF(AQ58=-1,0,IF(AQ58&lt;=3,'词条'!I7,'词条'!J7))</f>
      </c>
      <c r="AT58" s="5">
        <f>IF(AQ58=-1,0,INT((AQ60/100)*'路线'!B11+AR58*('路线'!B28+'路线'!B29)+AR60+AS58*'路线'!B15+AS60))</f>
      </c>
      <c r="AU58" s="5">
        <f>IF(AQ58=-1,0,INT((AQ60/100)*'路线'!B12+AR58*('路线'!B28+'路线'!B29)+AR60+AS58*'路线'!B18+AS60))</f>
      </c>
      <c r="AV58" s="9">
        <f>IF(AQ58=-1,0,INT((AQ60/100)*'路线'!B13+AR58*('路线'!B28+'路线'!B29)+AR60+AS58*'路线'!B21+AS60))</f>
      </c>
      <c r="AW58" s="1" t="str"/>
      <c r="AX58" s="1" t="str"/>
      <c r="BA58" s="7">
        <v>4</v>
      </c>
      <c r="BB58" t="str"/>
      <c r="BC58">
        <f>IF(BA58=-1,0,IF(BA58&lt;=3,'词条'!I7,'词条'!J7))</f>
      </c>
      <c r="BD58" s="5">
        <f>IF(BA58=-1,0,IF('路线'!C6="计算",INT(BA60+BB60*('路线'!B28+'路线'!B29)+BC58*'路线'!B15+BC60+20),INT(BA60+BB60*('路线'!B28+'路线'!B29)+BC58*'路线'!B15+BC60)))</f>
      </c>
      <c r="BE58" s="5">
        <f>IF(BA58=-1,0,IF('路线'!C6="计算",INT(BA60+BB60*('路线'!B28+'路线'!B29)+BC58*'路线'!B18+BC60+20),INT(BA60+BB60*('路线'!B28+'路线'!B29)+BC58*'路线'!B18+BC60)))</f>
      </c>
      <c r="BF58" s="9">
        <f>IF(BA58=-1,0,IF('路线'!C6="计算",INT(BA60+BB60*('路线'!B28+'路线'!B29)+BC58*'路线'!B21+BC60+20),INT(BA60+BB60*('路线'!B28+'路线'!B29)+BC58*'路线'!B21+BC60)))</f>
      </c>
      <c r="BG58" s="1" t="str"/>
      <c r="BH58" s="1" t="str"/>
    </row>
    <row customHeight="true" ht="16" r="59">
      <c r="C59" t="str">
        <v>基础值</v>
      </c>
      <c r="D59" t="str"/>
      <c r="E59" t="str">
        <v>事件</v>
      </c>
      <c r="F59" s="14" t="str">
        <v>SP</v>
      </c>
      <c r="I59" t="str"/>
      <c r="J59" t="str"/>
      <c r="M59" t="str">
        <v>百分比</v>
      </c>
      <c r="N59" t="str">
        <v>sp训练</v>
      </c>
      <c r="O59" t="str">
        <v>事件</v>
      </c>
      <c r="P59" s="13" t="str"/>
      <c r="S59" t="str"/>
      <c r="T59" t="str"/>
      <c r="W59" t="str">
        <v>基础值</v>
      </c>
      <c r="X59" t="str">
        <v>sp训练</v>
      </c>
      <c r="Y59" t="str">
        <v>事件</v>
      </c>
      <c r="Z59" s="13" t="str"/>
      <c r="AC59" t="str"/>
      <c r="AD59" t="str"/>
      <c r="AG59" t="str">
        <v>基础值</v>
      </c>
      <c r="AH59" t="str">
        <v>营业</v>
      </c>
      <c r="AI59" t="str">
        <v>事件</v>
      </c>
      <c r="AJ59" s="14" t="str">
        <v>SP</v>
      </c>
      <c r="AM59" t="str"/>
      <c r="AN59" s="1" t="str"/>
      <c r="AQ59" t="str">
        <v>百分比</v>
      </c>
      <c r="AR59" t="str">
        <v>试验终了</v>
      </c>
      <c r="AS59" t="str">
        <v>事件</v>
      </c>
      <c r="AT59" s="13" t="str"/>
      <c r="AW59" s="1" t="str"/>
      <c r="AX59" s="1" t="str"/>
      <c r="BA59" t="str">
        <v>基础值</v>
      </c>
      <c r="BB59" t="str">
        <v>强化</v>
      </c>
      <c r="BC59" t="str">
        <v>事件</v>
      </c>
      <c r="BD59" s="13" t="str"/>
      <c r="BG59" s="1" t="str"/>
      <c r="BH59" s="1" t="str"/>
    </row>
    <row customHeight="true" ht="16" r="60">
      <c r="C60">
        <f>IF(C58=-1,0,INDEX('词条'!C3:G3,C58+1))</f>
      </c>
      <c r="D60" t="str"/>
      <c r="E60">
        <f>IF(C58=-1,0,CHOOSE(C58+1,'词条'!C2,'词条'!D2,'词条'!D2,'词条'!D2,'词条'!E2))</f>
      </c>
      <c r="F60" s="11" t="str">
        <v>通用</v>
      </c>
      <c r="I60" t="str"/>
      <c r="J60" t="str"/>
      <c r="M60">
        <f>IF(M58=-1,0,INDEX('词条'!C4:G4,M58+1))</f>
      </c>
      <c r="N60">
        <f>IF(M58=-1,0,IF(M58&lt;=2,'词条'!C7,'词条'!D7))</f>
      </c>
      <c r="O60">
        <f>IF(M58=-1,0,CHOOSE(M58+1,'词条'!C2,'词条'!D2,'词条'!D2,'词条'!D2,'词条'!E2))</f>
      </c>
      <c r="P60" s="12" t="str">
        <v>理性</v>
      </c>
      <c r="S60" t="str"/>
      <c r="T60" t="str"/>
      <c r="W60">
        <f>IF(W58=-1,0,INDEX('词条'!C3:G3,W58+1))</f>
      </c>
      <c r="X60">
        <f>IF(W58=-1,0,IF(W58&lt;=2,'词条'!C7,'词条'!D7))</f>
      </c>
      <c r="Y60">
        <f>IF(W58=-1,0,CHOOSE(W58+1,'词条'!C2,'词条'!D2,'词条'!D2,'词条'!D2,'词条'!E2))</f>
      </c>
      <c r="Z60" s="12" t="str">
        <v>理性</v>
      </c>
      <c r="AC60" t="str"/>
      <c r="AD60" t="str"/>
      <c r="AG60">
        <f>IF(AG58=-1,0,INDEX('词条'!I3:M3,AG58+1))</f>
      </c>
      <c r="AH60">
        <f>IF(AG58=-1,0,IF(AG58&lt;=2,'词条'!I16,'词条'!J16))</f>
      </c>
      <c r="AI60">
        <f>IF(AG58=-1,0,CHOOSE(AG58+1,'词条'!I2,'词条'!I2,'词条'!J2,'词条'!J2,'词条'!K2))</f>
      </c>
      <c r="AJ60" s="10" t="str">
        <v>感性</v>
      </c>
      <c r="AM60" t="str"/>
      <c r="AN60" s="1" t="str"/>
      <c r="AQ60">
        <f>IF(AQ58=-1,0,INDEX('词条'!I4:M4,AQ58+1))</f>
      </c>
      <c r="AR60">
        <f>IF(AQ58=-1,0,IF(AQ58&lt;=2,'词条'!I19,'词条'!J19))</f>
      </c>
      <c r="AS60">
        <f>IF(AQ58=-1,0,CHOOSE(AQ58+1,'词条'!I2,'词条'!I2,'词条'!J2,'词条'!J2,'词条'!K2))</f>
      </c>
      <c r="AT60" s="10" t="str">
        <v>感性</v>
      </c>
      <c r="AW60" s="1" t="str"/>
      <c r="AX60" s="1" t="str"/>
      <c r="BA60">
        <f>IF(BA58=-1,0,INDEX('词条'!I3:M3,BA58+1))</f>
      </c>
      <c r="BB60">
        <f>IF(BA58=-1,0,IF(BA58&lt;=2,'词条'!I9,'词条'!J9))</f>
      </c>
      <c r="BC60">
        <f>IF(BA58=-1,0,CHOOSE(BA58+1,'词条'!I2,'词条'!I2,'词条'!J2,'词条'!J2,'词条'!K2))</f>
      </c>
      <c r="BD60" s="11" t="str">
        <v>通用</v>
      </c>
      <c r="BG60" s="1" t="str"/>
      <c r="BH60" s="1" t="str"/>
    </row>
    <row customHeight="true" ht="16" r="61">
      <c r="A61" s="1" t="str"/>
      <c r="B61" s="1" t="str"/>
      <c r="C61" s="1" t="str"/>
      <c r="D61" s="1" t="str"/>
      <c r="E61" s="1" t="str"/>
      <c r="F61" s="1" t="str"/>
      <c r="G61" s="1" t="str"/>
      <c r="H61" s="1" t="str"/>
      <c r="I61" s="1" t="str"/>
      <c r="J61" s="1" t="str"/>
      <c r="K61" s="1" t="str"/>
      <c r="L61" s="1" t="str"/>
      <c r="M61" s="1" t="str"/>
      <c r="N61" s="1" t="str"/>
      <c r="O61" s="1" t="str"/>
      <c r="P61" s="1" t="str"/>
      <c r="Q61" s="1" t="str"/>
      <c r="R61" s="1" t="str"/>
      <c r="S61" s="1" t="str"/>
      <c r="T61" s="1" t="str"/>
      <c r="U61" s="1" t="str"/>
      <c r="V61" s="1" t="str"/>
      <c r="W61" s="1" t="str"/>
      <c r="X61" s="1" t="str"/>
      <c r="Y61" s="1" t="str"/>
      <c r="Z61" s="1" t="str"/>
      <c r="AA61" s="1" t="str"/>
      <c r="AB61" s="1" t="str"/>
      <c r="AC61" s="1" t="str"/>
      <c r="AD61" s="1" t="str"/>
      <c r="AE61" s="1" t="str"/>
      <c r="AF61" s="1" t="str"/>
      <c r="AG61" s="1" t="str"/>
      <c r="AH61" s="1" t="str"/>
      <c r="AI61" s="1" t="str"/>
      <c r="AJ61" s="1" t="str"/>
      <c r="AK61" s="1" t="str"/>
      <c r="AL61" s="1" t="str"/>
      <c r="AM61" s="1" t="str"/>
      <c r="AN61" s="1" t="str"/>
      <c r="AO61" s="1" t="str"/>
      <c r="AP61" s="1" t="str"/>
      <c r="AQ61" s="1" t="str"/>
      <c r="AR61" s="1" t="str"/>
      <c r="AS61" s="1" t="str"/>
      <c r="AT61" s="1" t="str"/>
      <c r="AU61" s="1" t="str"/>
      <c r="AV61" s="1" t="str"/>
      <c r="AW61" s="1" t="str"/>
      <c r="AX61" s="1" t="str"/>
      <c r="AY61" s="1" t="str"/>
      <c r="AZ61" s="1" t="str"/>
      <c r="BA61" s="1" t="str"/>
      <c r="BB61" s="1" t="str"/>
      <c r="BC61" s="1" t="str"/>
      <c r="BD61" s="1" t="str"/>
      <c r="BE61" s="1" t="str"/>
      <c r="BF61" s="1" t="str"/>
      <c r="BG61" s="1" t="str"/>
      <c r="BH61" s="1" t="str"/>
    </row>
    <row customHeight="true" ht="16" r="62">
      <c r="A62" s="3" t="str">
        <v>二人ならあっという間だね（红50）</v>
      </c>
      <c r="H62" s="1" t="str"/>
      <c r="I62" t="str"/>
      <c r="J62" t="str"/>
      <c r="K62" s="3" t="str">
        <v>そろそろ焼けたかな？（红薯）</v>
      </c>
      <c r="R62" t="str"/>
      <c r="S62" t="str"/>
      <c r="T62" t="str"/>
      <c r="U62" s="3" t="str">
        <v>新たな挑戦の成功ですわ！（黄书签）</v>
      </c>
      <c r="AB62" t="str"/>
      <c r="AC62" s="2" t="str">
        <v>道具属性</v>
      </c>
      <c r="AD62" t="str"/>
      <c r="AE62" t="str">
        <v>基礎＞応用（红老师）</v>
      </c>
      <c r="AL62" s="1" t="str"/>
      <c r="AM62" s="1" t="str"/>
      <c r="AN62" s="1" t="str"/>
      <c r="AO62" t="str">
        <v>バズっちゃお！（椰树椰汁）</v>
      </c>
      <c r="AV62" s="1" t="str"/>
      <c r="AW62" s="1" t="str"/>
      <c r="AX62" s="1" t="str"/>
      <c r="AY62" t="str">
        <v>まだまだのばしてー（黄老师）</v>
      </c>
      <c r="BF62" s="1" t="str"/>
      <c r="BG62" s="1" t="str"/>
      <c r="BH62" s="1" t="str"/>
    </row>
    <row customHeight="true" ht="63" r="63">
      <c r="A63" s="13"/>
      <c r="C63" t="str">
        <v>破数</v>
      </c>
      <c r="D63" t="str">
        <v>营业</v>
      </c>
      <c r="E63" t="str">
        <v>sp训练</v>
      </c>
      <c r="F63" s="8" t="str">
        <v>第一属性</v>
      </c>
      <c r="G63" s="5" t="str">
        <v>第二属性</v>
      </c>
      <c r="H63" s="6" t="str">
        <v>第三属性</v>
      </c>
      <c r="I63" t="str"/>
      <c r="J63" t="str"/>
      <c r="K63" s="13"/>
      <c r="M63" t="str">
        <v>破数</v>
      </c>
      <c r="N63" t="str"/>
      <c r="O63" t="str">
        <v>支给</v>
      </c>
      <c r="P63" s="8" t="str">
        <v>第一属性</v>
      </c>
      <c r="Q63" s="5" t="str">
        <v>第二属性</v>
      </c>
      <c r="R63" s="6" t="str">
        <v>第三属性</v>
      </c>
      <c r="S63" t="str"/>
      <c r="T63" t="str"/>
      <c r="U63" s="13"/>
      <c r="W63" t="str">
        <v>破数</v>
      </c>
      <c r="X63" t="str"/>
      <c r="Y63" t="str">
        <v>抓a卡</v>
      </c>
      <c r="Z63" s="8" t="str">
        <v>第一属性</v>
      </c>
      <c r="AA63" s="5" t="str">
        <v>第二属性</v>
      </c>
      <c r="AB63" s="6" t="str">
        <v>第三属性</v>
      </c>
      <c r="AC63" s="2">
        <f>IF(W64=-1,0,75)</f>
      </c>
      <c r="AD63" t="str"/>
      <c r="AE63" s="13"/>
      <c r="AG63" t="str">
        <v>破数</v>
      </c>
      <c r="AH63" t="str"/>
      <c r="AI63" t="str"/>
      <c r="AJ63" s="8" t="str">
        <v>第一属性</v>
      </c>
      <c r="AK63" s="5" t="str">
        <v>第二属性</v>
      </c>
      <c r="AL63" s="6" t="str">
        <v>第三属性</v>
      </c>
      <c r="AM63" t="str"/>
      <c r="AN63" s="1" t="str"/>
      <c r="AQ63" t="str">
        <v>破数</v>
      </c>
      <c r="AR63" t="str">
        <v>相谈</v>
      </c>
      <c r="AS63" t="str">
        <v>外出</v>
      </c>
      <c r="AT63" s="8" t="str">
        <v>第一属性</v>
      </c>
      <c r="AU63" s="5" t="str">
        <v>第二属性</v>
      </c>
      <c r="AV63" s="6" t="str">
        <v>第三属性</v>
      </c>
      <c r="AW63" s="1" t="str"/>
      <c r="AX63" s="1" t="str"/>
      <c r="AY63" s="13"/>
      <c r="BA63" t="str">
        <v>破数</v>
      </c>
      <c r="BB63" t="str"/>
      <c r="BC63" t="str"/>
      <c r="BD63" s="5" t="str">
        <v>第一属性</v>
      </c>
      <c r="BE63" s="9" t="str">
        <v>第二属性</v>
      </c>
      <c r="BF63" s="5" t="str">
        <v>第三属性</v>
      </c>
      <c r="BG63" s="1" t="str"/>
      <c r="BH63" s="1" t="str"/>
    </row>
    <row customHeight="true" ht="16" r="64">
      <c r="C64" s="7">
        <v>4</v>
      </c>
      <c r="D64">
        <f>IF(C64=-1,0,IF(C64&lt;=1,'词条'!C16,'词条'!D16))</f>
      </c>
      <c r="E64">
        <f>IF(C64=-1,0,IF(C64&lt;=3,'词条'!C7,'词条'!D7))</f>
      </c>
      <c r="F64" s="8">
        <f>IF(C64=-1,0,INT((C66/100)*'路线'!B11+D64*'路线'!B30+D66*('路线'!B28+'路线'!B29)+E64*'路线'!B15+E66))</f>
      </c>
      <c r="G64" s="5">
        <f>IF(C64=-1,0,INT((C66/100)*'路线'!B12+D64*'路线'!B30+D66*('路线'!B28+'路线'!B29)+E64*'路线'!B18+E66))</f>
      </c>
      <c r="H64" s="6">
        <f>IF(C64=-1,0,INT((C66/100)*'路线'!B13+D64*'路线'!B30+D66*('路线'!B28+'路线'!B29)+E64*'路线'!B21+E66))</f>
      </c>
      <c r="I64" t="str"/>
      <c r="J64" t="str"/>
      <c r="M64" s="7">
        <v>4</v>
      </c>
      <c r="N64" t="str"/>
      <c r="O64">
        <f>IF(M64=-1,0,IF(M64&lt;=3,'词条'!C12,'词条'!D12))</f>
      </c>
      <c r="P64" s="8">
        <f>IF(M64=-1,0,IF('路线'!C6="计算",INT(M66+N66*'路线'!B15+O64*'路线'!B34+O66+20),INT(M66+N66*'路线'!B15+O64*'路线'!B34+O66)))</f>
      </c>
      <c r="Q64" s="5">
        <f>IF(M64=-1,0,IF('路线'!C6="计算",INT(M66+N66*'路线'!B18+O64*'路线'!B34+O66+20),INT(M66+N66*'路线'!B18+O64*'路线'!B34+O66)))</f>
      </c>
      <c r="R64" s="6">
        <f>IF(M64=-1,0,IF('路线'!C6="计算",INT(M66+N66*'路线'!B21+O64*'路线'!B34+O66+20),INT(M66+N66*'路线'!B21+O64*'路线'!B34+O66)))</f>
      </c>
      <c r="S64" t="str"/>
      <c r="T64" t="str"/>
      <c r="W64" s="7">
        <v>4</v>
      </c>
      <c r="X64" t="str"/>
      <c r="Y64">
        <f>IF(W64=-1,0,IF(W64&lt;=3,'词条'!C14,'词条'!D14))</f>
      </c>
      <c r="Z64" s="8">
        <f>IF(W64=-1,0,INT(W66+X66*'路线'!B14+Y64*'路线'!B23+Y66))</f>
      </c>
      <c r="AA64" s="5">
        <f>IF(W64=-1,0,INT(W66+X66*'路线'!B17+Y64*'路线'!B23+Y66))</f>
      </c>
      <c r="AB64" s="6">
        <f>IF(W64=-1,0,INT(W66+X66*'路线'!B20+Y64*'路线'!B23+Y66))</f>
      </c>
      <c r="AC64" s="2">
        <f>Z64+AC63</f>
      </c>
      <c r="AD64" t="str"/>
      <c r="AG64" s="7">
        <v>4</v>
      </c>
      <c r="AH64" t="str"/>
      <c r="AI64" t="str"/>
      <c r="AJ64" s="5">
        <f>IF(AG64=-1,0,INT(AG66+AH66*('路线'!B23+'路线'!B24)+AI66))</f>
      </c>
      <c r="AK64" s="5">
        <f>IF(AG64=-1,0,INT(AG66+AH66*('路线'!B23+'路线'!B24)+AI66))</f>
      </c>
      <c r="AL64" s="5">
        <f>IF(AG64=-1,0,INT(AG66+AH66*('路线'!B23+'路线'!B24)+AI66))</f>
      </c>
      <c r="AM64" t="str"/>
      <c r="AN64" s="1" t="str"/>
      <c r="AQ64" s="7">
        <v>4</v>
      </c>
      <c r="AR64">
        <f>IF(AQ64=-1,0,IF(AQ64=0,'词条'!I18,'词条'!J18))</f>
      </c>
      <c r="AS64">
        <f>IF(AQ64=-1,0,IF(AQ64&lt;=3,'词条'!I17,'词条'!J17))</f>
      </c>
      <c r="AT64" s="5">
        <f>IF(AQ64=-1,0,IF('路线'!C6="计算",INT(AQ66+AR64*'路线'!B33+AR66*'路线'!B34+AS64*'路线'!B31+AS66+20),INT(AQ66+AR64*'路线'!B33+AR66*'路线'!B34+AS64*'路线'!B31+AS66)))</f>
      </c>
      <c r="AU64" s="5">
        <f>IF(AQ64=-1,0,IF('路线'!C6="计算",INT(AQ66+AR64*'路线'!B33+AR66*'路线'!B34+AS64*'路线'!B31+AS66+20),INT(AQ66+AR64*'路线'!B33+AR66*'路线'!B34+AS64*'路线'!B31+AS66)))</f>
      </c>
      <c r="AV64" s="9">
        <f>IF(AQ64=-1,0,IF('路线'!C6="计算",INT(AQ66+AR64*'路线'!B33+AR66*'路线'!B34+AS64*'路线'!B31+AS66+20),INT(AQ66+AR64*'路线'!B33+AR66*'路线'!B34+AS64*'路线'!B31+AS66)))</f>
      </c>
      <c r="AW64" s="1" t="str"/>
      <c r="AX64" s="1" t="str"/>
      <c r="BA64" s="7">
        <v>4</v>
      </c>
      <c r="BB64" t="str"/>
      <c r="BC64" t="str"/>
      <c r="BD64" s="5">
        <f>IF(BA64=-1,0,INT(BA66+BB66*'路线'!B31+BC66))</f>
      </c>
      <c r="BE64" s="5">
        <f>IF(BA64=-1,0,INT(BA66+BB66*'路线'!B31+BC66))</f>
      </c>
      <c r="BF64" s="9">
        <f>IF(BA64=-1,0,INT(BA66+BB66*'路线'!B31+BC66))</f>
      </c>
      <c r="BG64" s="1" t="str"/>
      <c r="BH64" s="1" t="str"/>
    </row>
    <row customHeight="true" ht="16" r="65">
      <c r="C65" t="str">
        <v>百分比</v>
      </c>
      <c r="D65" t="str">
        <v>强化</v>
      </c>
      <c r="E65" t="str">
        <v>事件</v>
      </c>
      <c r="F65" s="13" t="str"/>
      <c r="I65" t="str"/>
      <c r="J65" t="str"/>
      <c r="M65" t="str">
        <v>基础值</v>
      </c>
      <c r="N65" t="str">
        <v>sp训练</v>
      </c>
      <c r="O65" t="str">
        <v>事件</v>
      </c>
      <c r="P65" s="14" t="str">
        <v>SP</v>
      </c>
      <c r="S65" t="str"/>
      <c r="T65" t="str"/>
      <c r="W65" t="str">
        <v>基础值</v>
      </c>
      <c r="X65" t="str">
        <v>训练</v>
      </c>
      <c r="Y65" t="str">
        <v>事件</v>
      </c>
      <c r="Z65" s="14" t="str">
        <v>SP</v>
      </c>
      <c r="AC65" s="2">
        <f>AA64+AC63</f>
      </c>
      <c r="AD65" t="str"/>
      <c r="AG65" t="str">
        <v>基础值</v>
      </c>
      <c r="AH65" t="str">
        <v>抓卡</v>
      </c>
      <c r="AI65" t="str">
        <v>事件</v>
      </c>
      <c r="AJ65" s="14" t="str">
        <v>SP</v>
      </c>
      <c r="AM65" t="str"/>
      <c r="AN65" s="1" t="str"/>
      <c r="AQ65" t="str">
        <v>基础值</v>
      </c>
      <c r="AR65" t="str">
        <v>支给</v>
      </c>
      <c r="AS65" t="str">
        <v>事件</v>
      </c>
      <c r="AT65" s="13" t="str"/>
      <c r="AW65" s="1" t="str"/>
      <c r="AX65" s="1" t="str"/>
      <c r="BA65" t="str">
        <v>基础值</v>
      </c>
      <c r="BB65" t="str">
        <v>外出</v>
      </c>
      <c r="BC65" t="str">
        <v>事件</v>
      </c>
      <c r="BD65" s="14" t="str">
        <v>SP</v>
      </c>
      <c r="BG65" s="1" t="str"/>
      <c r="BH65" s="1" t="str"/>
    </row>
    <row customHeight="true" ht="16" r="66">
      <c r="C66">
        <f>IF(C64=-1,0,INDEX('词条'!C4:G4,C64+1))</f>
      </c>
      <c r="D66">
        <f>IF(C64=-1,0,IF(C64&lt;=2,'词条'!C9,'词条'!D9))</f>
      </c>
      <c r="E66">
        <f>IF(C64=-1,0,CHOOSE(C64+1,'词条'!C2,'词条'!D2,'词条'!D2,'词条'!D2,'词条'!E2))</f>
      </c>
      <c r="F66" s="11" t="str">
        <v>通用</v>
      </c>
      <c r="I66" t="str"/>
      <c r="J66" t="str"/>
      <c r="M66">
        <f>IF(M64=-1,0,INDEX('词条'!C3:G3,M64+1))</f>
      </c>
      <c r="N66">
        <f>IF(M64=-1,0,IF(M64&lt;=2,'词条'!C7,'词条'!D7))</f>
      </c>
      <c r="O66">
        <f>IF(M64=-1,0,CHOOSE(M64+1,'词条'!C2,'词条'!D2,'词条'!D2,'词条'!D2,'词条'!E2))</f>
      </c>
      <c r="P66" s="12" t="str">
        <v>理性</v>
      </c>
      <c r="S66" t="str"/>
      <c r="T66" t="str"/>
      <c r="W66">
        <f>IF(W64=-1,0,INDEX('词条'!C3:G3,W64+1))</f>
      </c>
      <c r="X66">
        <f>IF(W64=-1,0,IF(W64&lt;=2,'词条'!C6,'词条'!D6))</f>
      </c>
      <c r="Y66">
        <f>IF(W64=-1,0,CHOOSE(W64+1,'词条'!C2,'词条'!D2,'词条'!D2,'词条'!D2,'词条'!E2))</f>
      </c>
      <c r="Z66" s="11" t="str">
        <v>通用</v>
      </c>
      <c r="AC66" s="2">
        <f>AB64+AC63</f>
      </c>
      <c r="AD66" t="str"/>
      <c r="AG66">
        <f>IF(AG64=-1,0,INDEX('词条'!I3:M3,AG64+1))</f>
      </c>
      <c r="AH66">
        <f>IF(AG64=-1,0,IF(AG64&lt;=2,'词条'!I15,'词条'!J15))</f>
      </c>
      <c r="AI66">
        <f>IF(AG64=-1,0,CHOOSE(AG64+1,'词条'!I2,'词条'!I2,'词条'!J2,'词条'!J2,'词条'!K2))</f>
      </c>
      <c r="AJ66" s="11" t="str">
        <v>通用</v>
      </c>
      <c r="AM66" t="str"/>
      <c r="AN66" s="1" t="str"/>
      <c r="AQ66">
        <f>IF(AQ64=-1,0,INDEX('词条'!I3:M3,AQ64+1))</f>
      </c>
      <c r="AR66">
        <f>IF(AQ64=-1,0,IF(AQ64&lt;=2,'词条'!I12,'词条'!J12))</f>
      </c>
      <c r="AS66">
        <f>IF(AQ64=-1,0,CHOOSE(AQ64+1,'词条'!I2,'词条'!I2,'词条'!J2,'词条'!J2,'词条'!K2))</f>
      </c>
      <c r="AT66" s="12" t="str">
        <v>理性</v>
      </c>
      <c r="AW66" s="1" t="str"/>
      <c r="AX66" s="1" t="str"/>
      <c r="BA66">
        <f>IF(BA64=-1,0,INDEX('词条'!I3:M3,BA64+1))</f>
      </c>
      <c r="BB66">
        <f>IF(BA64=-1,0,IF(BA64&lt;=2,'词条'!I17,'词条'!J17))</f>
      </c>
      <c r="BC66">
        <f>IF(BA64=-1,0,CHOOSE(BA64+1,'词条'!I2,'词条'!I2,'词条'!J2,'词条'!J2,'词条'!K2))</f>
      </c>
      <c r="BD66" s="11" t="str">
        <v>通用</v>
      </c>
      <c r="BG66" s="1" t="str"/>
      <c r="BH66" s="1" t="str"/>
    </row>
    <row customHeight="true" ht="16" r="67">
      <c r="A67" s="1" t="str"/>
      <c r="B67" s="1" t="str"/>
      <c r="C67" s="1" t="str"/>
      <c r="D67" s="1" t="str"/>
      <c r="E67" s="1" t="str"/>
      <c r="F67" s="1" t="str"/>
      <c r="G67" s="1" t="str"/>
      <c r="H67" s="1" t="str"/>
      <c r="I67" s="1" t="str"/>
      <c r="J67" s="1" t="str"/>
      <c r="K67" s="1" t="str"/>
      <c r="L67" s="1" t="str"/>
      <c r="M67" s="1" t="str"/>
      <c r="N67" s="1" t="str"/>
      <c r="O67" s="1" t="str"/>
      <c r="P67" s="1" t="str"/>
      <c r="Q67" s="1" t="str"/>
      <c r="R67" s="1" t="str"/>
      <c r="S67" s="1" t="str"/>
      <c r="T67" s="1" t="str"/>
      <c r="U67" s="1" t="str"/>
      <c r="V67" s="1" t="str"/>
      <c r="W67" s="1" t="str"/>
      <c r="X67" s="1" t="str"/>
      <c r="Y67" s="1" t="str"/>
      <c r="Z67" s="1" t="str"/>
      <c r="AA67" s="1" t="str"/>
      <c r="AB67" s="1" t="str"/>
      <c r="AC67" s="1" t="str"/>
      <c r="AD67" s="1" t="str"/>
      <c r="AE67" s="1" t="str"/>
      <c r="AF67" s="1" t="str"/>
      <c r="AG67" s="1" t="str"/>
      <c r="AH67" s="1" t="str"/>
      <c r="AI67" s="1" t="str"/>
      <c r="AJ67" s="1" t="str"/>
      <c r="AK67" s="1" t="str"/>
      <c r="AL67" s="1" t="str"/>
      <c r="AM67" s="1" t="str"/>
      <c r="AN67" s="1" t="str"/>
      <c r="AO67" s="1" t="str"/>
      <c r="AP67" s="1" t="str"/>
      <c r="AQ67" s="1" t="str"/>
      <c r="AR67" s="1" t="str"/>
      <c r="AS67" s="1" t="str"/>
      <c r="AT67" s="1" t="str"/>
      <c r="AU67" s="1" t="str"/>
      <c r="AV67" s="1" t="str"/>
      <c r="AW67" s="1" t="str"/>
      <c r="AX67" s="1" t="str"/>
      <c r="AY67" s="1" t="str"/>
      <c r="AZ67" s="1" t="str"/>
      <c r="BA67" s="1" t="str"/>
      <c r="BB67" s="1" t="str"/>
      <c r="BC67" s="1" t="str"/>
      <c r="BD67" s="1" t="str"/>
      <c r="BE67" s="1" t="str"/>
      <c r="BF67" s="1" t="str"/>
      <c r="BG67" s="1" t="str"/>
      <c r="BH67" s="1" t="str"/>
    </row>
    <row customHeight="true" ht="16" r="68">
      <c r="A68" t="str">
        <v>すっかり秋色ですわね！（秋色）</v>
      </c>
      <c r="H68" s="1" t="str"/>
      <c r="I68" t="str"/>
      <c r="J68" t="str"/>
      <c r="K68" s="3" t="str">
        <v>プロデュースって大変ね（大变卡）</v>
      </c>
      <c r="R68" t="str"/>
      <c r="S68" t="str"/>
      <c r="T68" t="str"/>
      <c r="U68" s="3" t="str">
        <v>会長、準備は万端です（准备万端）</v>
      </c>
      <c r="AB68" s="1" t="str"/>
      <c r="AC68" s="1" t="str"/>
      <c r="AD68" s="1" t="str"/>
      <c r="AE68" s="1" t="str">
        <v>まごころを込めて（巧可琴音）</v>
      </c>
      <c r="AL68" s="1" t="str"/>
      <c r="AM68" s="1" t="str"/>
      <c r="AN68" s="1" t="str"/>
      <c r="AO68" t="str">
        <v>ディカプルエックスエル！（圣诞斯大广）</v>
      </c>
      <c r="AV68" s="1" t="str"/>
      <c r="AW68" s="1" t="str"/>
      <c r="AX68" s="1" t="str"/>
      <c r="AY68" t="str">
        <v>SSCの爆誕（毒蘑菇旧鞋跟）</v>
      </c>
      <c r="BF68" s="1" t="str"/>
      <c r="BG68" s="1" t="str"/>
      <c r="BH68" s="1" t="str"/>
    </row>
    <row customHeight="true" ht="63" r="69">
      <c r="A69" s="13"/>
      <c r="C69" t="str">
        <v>破数</v>
      </c>
      <c r="D69" t="str"/>
      <c r="E69" t="str">
        <v>支给</v>
      </c>
      <c r="F69" s="8" t="str">
        <v>第一属性</v>
      </c>
      <c r="G69" s="5" t="str">
        <v>第二属性</v>
      </c>
      <c r="H69" s="6" t="str">
        <v>第三属性</v>
      </c>
      <c r="I69" t="str"/>
      <c r="J69" t="str"/>
      <c r="K69" s="13"/>
      <c r="M69" t="str">
        <v>破数</v>
      </c>
      <c r="N69" t="str"/>
      <c r="O69" t="str"/>
      <c r="P69" s="8" t="str">
        <v>第一属性</v>
      </c>
      <c r="Q69" s="5" t="str">
        <v>第二属性</v>
      </c>
      <c r="R69" s="6" t="str">
        <v>第三属性</v>
      </c>
      <c r="S69" t="str"/>
      <c r="T69" t="str"/>
      <c r="U69" s="13"/>
      <c r="W69" t="str">
        <v>破数</v>
      </c>
      <c r="X69" t="str"/>
      <c r="Y69" t="str">
        <v>外出</v>
      </c>
      <c r="Z69" s="8" t="str">
        <v>第一属性</v>
      </c>
      <c r="AA69" s="5" t="str">
        <v>第二属性</v>
      </c>
      <c r="AB69" s="6" t="str">
        <v>第三属性</v>
      </c>
      <c r="AC69" t="str"/>
      <c r="AD69" t="str"/>
      <c r="AG69" t="str">
        <v>破数</v>
      </c>
      <c r="AH69" t="str"/>
      <c r="AI69" t="str">
        <v>外出</v>
      </c>
      <c r="AJ69" s="8" t="str">
        <v>第一属性</v>
      </c>
      <c r="AK69" s="5" t="str">
        <v>第二属性</v>
      </c>
      <c r="AL69" s="6" t="str">
        <v>第三属性</v>
      </c>
      <c r="AM69" t="str"/>
      <c r="AN69" s="1" t="str"/>
      <c r="AQ69" t="str">
        <v>破数</v>
      </c>
      <c r="AR69" t="str"/>
      <c r="AS69" t="str">
        <v>sp训练</v>
      </c>
      <c r="AT69" s="8" t="str">
        <v>第一属性</v>
      </c>
      <c r="AU69" s="5" t="str">
        <v>第二属性</v>
      </c>
      <c r="AV69" s="6" t="str">
        <v>第三属性</v>
      </c>
      <c r="AW69" s="1" t="str"/>
      <c r="AX69" s="1" t="str"/>
      <c r="AY69" s="13"/>
      <c r="BA69" t="str">
        <v>破数</v>
      </c>
      <c r="BB69" t="str"/>
      <c r="BC69" t="str">
        <v>sp训练</v>
      </c>
      <c r="BD69" s="5" t="str">
        <v>第一属性</v>
      </c>
      <c r="BE69" s="9" t="str">
        <v>第二属性</v>
      </c>
      <c r="BF69" s="5" t="str">
        <v>第三属性</v>
      </c>
      <c r="BG69" s="1" t="str"/>
      <c r="BH69" s="1" t="str"/>
    </row>
    <row customHeight="true" ht="16" r="70">
      <c r="C70" s="7">
        <v>4</v>
      </c>
      <c r="D70" t="str"/>
      <c r="E70">
        <f>IF(C70=-1,0,IF(C70&lt;=3,'词条'!C12,'词条'!D12))</f>
      </c>
      <c r="F70" s="8">
        <f>IF(C70=-1,0,INT(C72+D72*'路线'!B25+E70*'路线'!B34+E72))</f>
      </c>
      <c r="G70" s="5">
        <f>IF(C70=-1,0,INT(C72+D72*'路线'!B25+E70*'路线'!B34+E72))</f>
      </c>
      <c r="H70" s="6">
        <f>IF(C70=-1,0,INT(C72+D72*'路线'!B25+E70*'路线'!B34+E72))</f>
      </c>
      <c r="I70" t="str"/>
      <c r="J70" t="str"/>
      <c r="M70" s="7">
        <v>4</v>
      </c>
      <c r="N70" t="str"/>
      <c r="O70" t="str"/>
      <c r="P70" s="8">
        <f>IF(M70=-1,0,INT(M72+N72+O72))</f>
      </c>
      <c r="Q70" s="5">
        <f>IF(M70=-1,0,INT(M72+N72+O72))</f>
      </c>
      <c r="R70" s="6">
        <f>IF(M70=-1,0,INT(M72+N72+O72))</f>
      </c>
      <c r="S70" t="str"/>
      <c r="T70" t="str"/>
      <c r="W70" s="7">
        <v>4</v>
      </c>
      <c r="X70" t="str"/>
      <c r="Y70">
        <f>IF(W70=-1,0,IF(W70&lt;=3,'词条'!C17,'词条'!D17))</f>
      </c>
      <c r="Z70" s="8">
        <f>IF(W70=-1,0,INT((W72/100)*'路线'!B11+X72*'路线'!B29+Y70*'路线'!B31+Y72))</f>
      </c>
      <c r="AA70" s="5">
        <f>IF(W70=-1,0,INT((W72/100)*'路线'!B12+X72*'路线'!B29+Y70*'路线'!B31+Y72))</f>
      </c>
      <c r="AB70" s="6">
        <f>IF(W70=-1,0,INT((W72/100)*'路线'!B13+X72*'路线'!B29+Y70*'路线'!B31+Y72))</f>
      </c>
      <c r="AC70" t="str"/>
      <c r="AD70" t="str"/>
      <c r="AG70" s="7">
        <v>4</v>
      </c>
      <c r="AH70" t="str"/>
      <c r="AI70">
        <f>IF(AG70=-1,0,IF(AG70&lt;=3,'词条'!I17,'词条'!J17))</f>
      </c>
      <c r="AJ70" s="5">
        <f>IF(AG70=-1,0,IF('路线'!C6="计算",INT((AG72/100)*'路线'!B11+AH72*'路线'!B30+AI70*'路线'!B31+AI72+20),INT((AG72/100)*'路线'!B11+AH72*'路线'!B30+AI70*'路线'!B31+AI72)))</f>
      </c>
      <c r="AK70" s="5">
        <f>IF(AG70=-1,0,IF('路线'!C6="计算",INT((AG72/100)*'路线'!B12+AH72*'路线'!B30+AI70*'路线'!B31+AI72+20),INT((AG72/100)*'路线'!B12+AH72*'路线'!B30+AI70*'路线'!B31+AI72)))</f>
      </c>
      <c r="AL70" s="5">
        <f>IF(AG70=-1,0,IF('路线'!C6="计算",INT((AG72/100)*'路线'!B13+AH72*'路线'!B30+AI70*'路线'!B31+AI72+20),INT((AG72/100)*'路线'!B13+AH72*'路线'!B30+AI70*'路线'!B31+AI72)))</f>
      </c>
      <c r="AM70" t="str"/>
      <c r="AN70" s="1" t="str"/>
      <c r="AQ70" s="7">
        <v>4</v>
      </c>
      <c r="AR70" t="str"/>
      <c r="AS70">
        <f>IF(AQ70=-1,0,IF(AQ70&lt;=3,'词条'!I7,'词条'!J7))</f>
      </c>
      <c r="AT70" s="5">
        <f>IF(AQ70=-1,0,INT((AQ72/100)*'路线'!B11+AR72*'路线'!B33+AS70*'路线'!B15+AS72))</f>
      </c>
      <c r="AU70" s="5">
        <f>IF(AQ70=-1,0,INT((AQ72/100)*'路线'!B12+AR72*'路线'!B33+AS70*'路线'!B18+AS72))</f>
      </c>
      <c r="AV70" s="9">
        <f>IF(AQ70=-1,0,INT((AQ72/100)*'路线'!B13+AR72*'路线'!B33+AS70*'路线'!B21+AS72))</f>
      </c>
      <c r="AW70" s="1" t="str"/>
      <c r="AX70" s="1" t="str"/>
      <c r="BA70" s="7">
        <v>4</v>
      </c>
      <c r="BB70" t="str"/>
      <c r="BC70">
        <f>IF(BA70=-1,0,IF(BA70&lt;=3,'词条'!I7,'词条'!J7))</f>
      </c>
      <c r="BD70" s="5">
        <f>IF(BA70=-1,0,IF('路线'!C6="计算",INT((BA72/100)*'路线'!B11+BB72*'路线'!B31+BC70*'路线'!B15+BC72+20),INT((BA72/100)*'路线'!B11+BB72*'路线'!B31+BC70*'路线'!B15+BC72)))</f>
      </c>
      <c r="BE70" s="5">
        <f>IF(BA70=-1,0,IF('路线'!C6="计算",INT((BA72/100)*'路线'!B12+BB72*'路线'!B31+BC70*'路线'!B18+BC72+20),INT((BA72/100)*'路线'!B12+BB72*'路线'!B31+BC70*'路线'!B18+BC72)))</f>
      </c>
      <c r="BF70" s="9">
        <f>IF(BA70=-1,0,IF('路线'!C6="计算",INT((BA72/100)*'路线'!B13+BB72*'路线'!B31+BC70*'路线'!B21+BC72+20),INT((BA72/100)*'路线'!B13+BB72*'路线'!B31+BC70*'路线'!B21+BC72)))</f>
      </c>
      <c r="BG70" s="1" t="str"/>
      <c r="BH70" s="1" t="str"/>
    </row>
    <row customHeight="true" ht="16" r="71">
      <c r="C71" t="str">
        <v>基础值</v>
      </c>
      <c r="D71" t="str">
        <v>抓好调卡</v>
      </c>
      <c r="E71" t="str">
        <v>事件</v>
      </c>
      <c r="F71" s="14" t="str">
        <v>SP</v>
      </c>
      <c r="I71" t="str"/>
      <c r="J71" t="str"/>
      <c r="M71" t="str">
        <v>基础值</v>
      </c>
      <c r="N71" t="str">
        <v>试验终了</v>
      </c>
      <c r="O71" t="str">
        <v>事件</v>
      </c>
      <c r="P71" s="14" t="str">
        <v>SP</v>
      </c>
      <c r="S71" t="str"/>
      <c r="T71" t="str"/>
      <c r="W71" t="str">
        <v>百分比</v>
      </c>
      <c r="X71" t="str">
        <v>m强化</v>
      </c>
      <c r="Y71" t="str">
        <v>事件</v>
      </c>
      <c r="Z71" s="13" t="str"/>
      <c r="AC71" t="str"/>
      <c r="AD71" t="str"/>
      <c r="AG71" t="str">
        <v>百分比</v>
      </c>
      <c r="AH71" t="str">
        <v>营业</v>
      </c>
      <c r="AI71" t="str">
        <v>事件</v>
      </c>
      <c r="AJ71" s="13" t="str"/>
      <c r="AM71" t="str"/>
      <c r="AN71" s="1" t="str"/>
      <c r="AQ71" t="str">
        <v>百分比</v>
      </c>
      <c r="AR71" t="str">
        <v>相谈</v>
      </c>
      <c r="AS71" t="str">
        <v>事件</v>
      </c>
      <c r="AT71" s="13" t="str"/>
      <c r="AW71" s="1" t="str"/>
      <c r="AX71" s="1" t="str"/>
      <c r="BA71" t="str">
        <v>百分比</v>
      </c>
      <c r="BB71" t="str">
        <v>外出</v>
      </c>
      <c r="BC71" t="str">
        <v>事件</v>
      </c>
      <c r="BD71" s="14" t="str">
        <v>SP</v>
      </c>
      <c r="BG71" s="1" t="str"/>
      <c r="BH71" s="1" t="str"/>
    </row>
    <row customHeight="true" ht="16" r="72">
      <c r="C72">
        <f>IF(C70=-1,0,INDEX('词条'!C3:G3,C70+1))</f>
      </c>
      <c r="D72">
        <f>IF(C70=-1,0,IF(C70&lt;=2,'词条'!C21,'词条'!D21))</f>
      </c>
      <c r="E72">
        <f>IF(C70=-1,0,CHOOSE(C70+1,'词条'!C2,'词条'!D2,'词条'!D2,'词条'!D2,'词条'!E2))</f>
      </c>
      <c r="F72" s="10" t="str">
        <v>感性</v>
      </c>
      <c r="I72" t="str"/>
      <c r="J72" t="str"/>
      <c r="M72">
        <f>IF(M70=-1,0,INDEX('词条'!C3:G3,M70+1))</f>
      </c>
      <c r="N72">
        <f>IF(M70=-1,0,IF(M70&lt;=2,'词条'!F19,'词条'!G19))</f>
      </c>
      <c r="O72">
        <f>IF(M70=-1,0,CHOOSE(M70+1,'词条'!C2,'词条'!D2,'词条'!D2,'词条'!D2,'词条'!E2))</f>
      </c>
      <c r="P72" s="15" t="str">
        <v>非凡</v>
      </c>
      <c r="S72" t="str"/>
      <c r="T72" t="str"/>
      <c r="W72">
        <f>IF(W70=-1,0,INDEX('词条'!C4:G4,W70+1))</f>
      </c>
      <c r="X72">
        <f>IF(W70=-1,0,IF(W70&lt;=2,'词条'!C10,'词条'!D11))</f>
      </c>
      <c r="Y72">
        <f>IF(W70=-1,0,CHOOSE(W70+1,'词条'!C2,'词条'!D2,'词条'!D2,'词条'!D2,'词条'!E2))</f>
      </c>
      <c r="Z72" s="12" t="str">
        <v>理性</v>
      </c>
      <c r="AC72" t="str"/>
      <c r="AD72" t="str"/>
      <c r="AG72">
        <f>IF(AG70=-1,0,INDEX('词条'!I4:M4,AG70+1))</f>
      </c>
      <c r="AH72">
        <f>IF(AG70=-1,0,IF(AG70&lt;=2,'词条'!I16,'词条'!J16))</f>
      </c>
      <c r="AI72">
        <f>IF(AG70=-1,0,CHOOSE(AG70+1,'词条'!I2,'词条'!I2,'词条'!J2,'词条'!J2,'词条'!K2))</f>
      </c>
      <c r="AJ72" s="12" t="str">
        <v>理性</v>
      </c>
      <c r="AM72" t="str"/>
      <c r="AN72" s="1" t="str"/>
      <c r="AQ72">
        <f>IF(AQ70=-1,0,INDEX('词条'!I4:M4,AQ70+1))</f>
      </c>
      <c r="AR72">
        <f>IF(AQ70=-1,0,IF(AQ70&lt;=2,'词条'!I18,'词条'!J18))</f>
      </c>
      <c r="AS72">
        <f>IF(AQ70=-1,0,CHOOSE(AQ70+1,'词条'!I2,'词条'!I2,'词条'!J2,'词条'!J2,'词条'!K2))</f>
      </c>
      <c r="AT72" s="10" t="str">
        <v>感性</v>
      </c>
      <c r="AW72" s="1" t="str"/>
      <c r="AX72" s="1" t="str"/>
      <c r="BA72">
        <f>IF(BA70=-1,0,INDEX('词条'!I4:M4,BA70+1))</f>
      </c>
      <c r="BB72">
        <f>IF(BA70=-1,0,IF(BA70&lt;=2,'词条'!I17,'词条'!J17))</f>
      </c>
      <c r="BC72">
        <f>IF(BA70=-1,0,CHOOSE(BA70+1,'词条'!I2,'词条'!I2,'词条'!J2,'词条'!J2,'词条'!K2))</f>
      </c>
      <c r="BD72" s="15" t="str">
        <v>非凡</v>
      </c>
      <c r="BG72" s="1" t="str"/>
      <c r="BH72" s="1" t="str"/>
    </row>
    <row customHeight="true" ht="16" r="73">
      <c r="A73" s="1" t="str"/>
      <c r="B73" s="1" t="str"/>
      <c r="C73" s="1" t="str"/>
      <c r="D73" s="1" t="str"/>
      <c r="E73" s="1" t="str"/>
      <c r="F73" s="1" t="str"/>
      <c r="G73" s="1" t="str"/>
      <c r="H73" s="1" t="str"/>
      <c r="I73" s="1" t="str"/>
      <c r="J73" s="1" t="str"/>
      <c r="K73" s="1" t="str"/>
      <c r="L73" s="1" t="str"/>
      <c r="M73" s="1" t="str"/>
      <c r="N73" s="1" t="str"/>
      <c r="O73" s="1" t="str"/>
      <c r="P73" s="1" t="str"/>
      <c r="Q73" s="1" t="str"/>
      <c r="R73" s="1" t="str"/>
      <c r="S73" s="1" t="str"/>
      <c r="T73" s="1" t="str"/>
      <c r="U73" s="1" t="str"/>
      <c r="V73" s="1" t="str"/>
      <c r="W73" s="1" t="str"/>
      <c r="X73" s="1" t="str"/>
      <c r="Y73" s="1" t="str"/>
      <c r="Z73" s="1" t="str"/>
      <c r="AA73" s="1" t="str"/>
      <c r="AB73" s="1" t="str"/>
      <c r="AC73" s="1" t="str"/>
      <c r="AD73" s="1" t="str"/>
      <c r="AE73" s="1" t="str"/>
      <c r="AF73" s="1" t="str"/>
      <c r="AG73" s="1" t="str"/>
      <c r="AH73" s="1" t="str"/>
      <c r="AI73" s="1" t="str"/>
      <c r="AJ73" s="1" t="str"/>
      <c r="AK73" s="1" t="str"/>
      <c r="AL73" s="1" t="str"/>
      <c r="AM73" s="1" t="str"/>
      <c r="AN73" s="1" t="str"/>
      <c r="AO73" s="1" t="str"/>
      <c r="AP73" s="1" t="str"/>
      <c r="AQ73" s="1" t="str"/>
      <c r="AR73" s="1" t="str"/>
      <c r="AS73" s="1" t="str"/>
      <c r="AT73" s="1" t="str"/>
      <c r="AU73" s="1" t="str"/>
      <c r="AV73" s="1" t="str"/>
      <c r="AW73" s="1" t="str"/>
      <c r="AX73" s="1" t="str"/>
      <c r="AY73" s="1" t="str"/>
      <c r="AZ73" s="1" t="str"/>
      <c r="BA73" s="1" t="str"/>
      <c r="BB73" s="1" t="str"/>
      <c r="BC73" s="1" t="str"/>
      <c r="BD73" s="1" t="str"/>
      <c r="BE73" s="1" t="str"/>
      <c r="BF73" s="1" t="str"/>
      <c r="BG73" s="1" t="str"/>
      <c r="BH73" s="1" t="str"/>
    </row>
    <row customHeight="true" ht="16" r="74">
      <c r="A74" t="str">
        <v>もう一度、最初から！（fes1）</v>
      </c>
      <c r="H74" s="1" t="str"/>
      <c r="I74" t="str"/>
      <c r="J74" t="str"/>
      <c r="K74" s="3" t="str">
        <v>キラキラして綺麗～っ！（光夜）</v>
      </c>
      <c r="R74" t="str"/>
      <c r="S74" t="str"/>
      <c r="T74" t="str"/>
      <c r="U74" t="str">
        <v>ぜったい追いついてやる！（红叶）</v>
      </c>
      <c r="AB74" s="1" t="str"/>
      <c r="AC74" s="1" t="str"/>
      <c r="AD74" s="1" t="str"/>
      <c r="AE74" s="1" t="str">
        <v>屈辱の2位（马给马给）</v>
      </c>
      <c r="AL74" s="1" t="str"/>
      <c r="AM74" s="1" t="str"/>
      <c r="AN74" s="1" t="str"/>
      <c r="AO74" s="1" t="str">
        <v>きゅる～んωポーズッ☆（可爱pose）</v>
      </c>
      <c r="AV74" s="1" t="str"/>
      <c r="AW74" s="2" t="str">
        <v>道具属性</v>
      </c>
      <c r="AX74" s="2" t="str">
        <v>干劲抓卡</v>
      </c>
      <c r="AY74" s="1" t="str">
        <v>虫愛づる王子様（虫爱）</v>
      </c>
      <c r="BF74" s="1" t="str"/>
      <c r="BG74" s="1" t="str"/>
      <c r="BH74" s="1" t="str"/>
    </row>
    <row customHeight="true" ht="63" r="75">
      <c r="A75" s="13"/>
      <c r="C75" t="str">
        <v>破数</v>
      </c>
      <c r="D75" t="str"/>
      <c r="E75" t="str">
        <v>营业</v>
      </c>
      <c r="F75" s="8" t="str">
        <v>第一属性</v>
      </c>
      <c r="G75" s="5" t="str">
        <v>第二属性</v>
      </c>
      <c r="H75" s="6" t="str">
        <v>第三属性</v>
      </c>
      <c r="I75" t="str"/>
      <c r="J75" t="str"/>
      <c r="K75" s="13"/>
      <c r="M75" t="str">
        <v>破数</v>
      </c>
      <c r="N75" t="str">
        <v>相谈</v>
      </c>
      <c r="O75" t="str">
        <v>试验终了</v>
      </c>
      <c r="P75" s="8" t="str">
        <v>第一属性</v>
      </c>
      <c r="Q75" s="5" t="str">
        <v>第二属性</v>
      </c>
      <c r="R75" s="6" t="str">
        <v>第三属性</v>
      </c>
      <c r="S75" t="str"/>
      <c r="T75" t="str"/>
      <c r="U75" s="13"/>
      <c r="W75" t="str">
        <v>破数</v>
      </c>
      <c r="X75" t="str">
        <v>营业</v>
      </c>
      <c r="Y75" t="str">
        <v>sp训练</v>
      </c>
      <c r="Z75" s="8" t="str">
        <v>第一属性</v>
      </c>
      <c r="AA75" s="5" t="str">
        <v>第二属性</v>
      </c>
      <c r="AB75" s="6" t="str">
        <v>第三属性</v>
      </c>
      <c r="AC75" t="str"/>
      <c r="AD75" t="str"/>
      <c r="AG75" t="str">
        <v>破数</v>
      </c>
      <c r="AH75" t="str">
        <v>外出</v>
      </c>
      <c r="AI75" t="str">
        <v>试验终了</v>
      </c>
      <c r="AJ75" s="8" t="str">
        <v>第一属性</v>
      </c>
      <c r="AK75" s="5" t="str">
        <v>第二属性</v>
      </c>
      <c r="AL75" s="6" t="str">
        <v>第三属性</v>
      </c>
      <c r="AM75" t="str"/>
      <c r="AN75" t="str"/>
      <c r="AO75" s="1"/>
      <c r="AQ75" t="str">
        <v>破数</v>
      </c>
      <c r="AR75" t="str"/>
      <c r="AS75" t="str">
        <v>sp训练</v>
      </c>
      <c r="AT75" s="8" t="str">
        <v>第一属性</v>
      </c>
      <c r="AU75" s="5" t="str">
        <v>第二属性</v>
      </c>
      <c r="AV75" s="6" t="str">
        <v>第三属性</v>
      </c>
      <c r="AW75" s="24">
        <f>AX75*6</f>
      </c>
      <c r="AX75" s="25">
        <v>10</v>
      </c>
      <c r="AY75" s="1"/>
      <c r="BA75" t="str">
        <v>破数</v>
      </c>
      <c r="BB75" t="str">
        <v>强化</v>
      </c>
      <c r="BC75" t="str">
        <v>外出</v>
      </c>
      <c r="BD75" s="5" t="str">
        <v>第一属性</v>
      </c>
      <c r="BE75" s="9" t="str">
        <v>第二属性</v>
      </c>
      <c r="BF75" s="5" t="str">
        <v>第三属性</v>
      </c>
      <c r="BG75" s="1" t="str"/>
      <c r="BH75" s="1" t="str"/>
    </row>
    <row customHeight="true" ht="16" r="76">
      <c r="C76" s="7">
        <v>4</v>
      </c>
      <c r="D76" t="str"/>
      <c r="E76">
        <f>IF(C76=-1,0,IF(C76&lt;=3,'词条'!C16,'词条'!D16))</f>
      </c>
      <c r="F76" s="8">
        <f>IF(C76=-1,0,IF('路线'!C6="计算",INT((C78/100)*'路线'!B11+D78*'路线'!B15+E76*'路线'!B30+E78+20),INT((C78/100)*'路线'!B11+D78*'路线'!B15+E76*'路线'!B30+E78)))</f>
      </c>
      <c r="G76" s="5">
        <f>IF(C76=-1,0,IF('路线'!C6="计算",INT((C78/100)*'路线'!B12+D78*'路线'!B18+E76*'路线'!B30+E78+20),INT((C78/100)*'路线'!B12+D78*'路线'!B18+E76*'路线'!B30+E78)))</f>
      </c>
      <c r="H76" s="6">
        <f>IF(C76=-1,0,IF('路线'!C6="计算",INT((C78/100)*'路线'!B13+D78*'路线'!B21+E76*'路线'!B30+E78+20),INT((C78/100)*'路线'!B13+D78*'路线'!B21+E76*'路线'!B30+E78)))</f>
      </c>
      <c r="I76" t="str"/>
      <c r="J76" t="str"/>
      <c r="M76" s="7">
        <v>4</v>
      </c>
      <c r="N76">
        <f>IF(M76=-1,0,IF(M76&lt;=1,'词条'!C18,'词条'!D18))</f>
      </c>
      <c r="O76">
        <f>IF(M76=-1,0,IF(M76&lt;=3,'词条'!C19,'词条'!D19))</f>
      </c>
      <c r="P76" s="8">
        <f>IF(M76=-1,0,IF('路线'!C6="计算",INT((M78/100)*'路线'!B11+N76*'路线'!B33+N78*'路线'!B15+O76+O78+20),INT((M78/100)*'路线'!B11+N76*'路线'!B33+N78*'路线'!B15+O76+O78)))</f>
      </c>
      <c r="Q76" s="5">
        <f>IF(M76=-1,0,IF('路线'!C6="计算",INT((M78/100)*'路线'!B12+N76*'路线'!B33+N78*'路线'!B18+O76+O78+20),INT((M78/100)*'路线'!B12+N76*'路线'!B33+N78*'路线'!B18+O76+O78)))</f>
      </c>
      <c r="R76" s="6">
        <f>IF(M76=-1,0,IF('路线'!C6="计算",INT((M78/100)*'路线'!B13+N76*'路线'!B33+N78*'路线'!B21+O76+O78+20),INT((M78/100)*'路线'!B13+N76*'路线'!B33+N78*'路线'!B21+O76+O78)))</f>
      </c>
      <c r="S76" t="str"/>
      <c r="T76" t="str"/>
      <c r="W76" s="7">
        <v>4</v>
      </c>
      <c r="X76">
        <f>IF(W76=-1,0,IF(W76&lt;=1,'词条'!C16,'词条'!D16))</f>
      </c>
      <c r="Y76">
        <f>IF(W76=-1,0,IF(W76&lt;=3,'词条'!C7,'词条'!D7))</f>
      </c>
      <c r="Z76" s="8">
        <f>IF(W76=-1,0,IF('路线'!C6="计算",INT((W78/100)*'路线'!B11+X76*'路线'!B30+X78*('路线'!B28+'路线'!B29)+Y76*'路线'!B15+Y78+20),INT((W78/100)*'路线'!B11+X76*'路线'!B30+X78*('路线'!B28+'路线'!B29)+Y76*'路线'!B15+Y78)))</f>
      </c>
      <c r="AA76" s="5">
        <f>IF(W76=-1,0,IF('路线'!C6="计算",INT((W78/100)*'路线'!B12+X76*'路线'!B30+X78*('路线'!B28+'路线'!B29)+Y76*'路线'!B18+Y78+20),INT((W78/100)*'路线'!B12+X76*'路线'!B30+X78*('路线'!B28+'路线'!B29)+Y76*'路线'!B18+Y78)))</f>
      </c>
      <c r="AB76" s="6">
        <f>IF(W76=-1,0,IF('路线'!C6="计算",INT((W78/100)*'路线'!B13+X76*'路线'!B30+X78*('路线'!B28+'路线'!B29)+Y76*'路线'!B21+Y78+20),INT((W78/100)*'路线'!B13+X76*'路线'!B30+X78*('路线'!B28+'路线'!B29)+Y76*'路线'!B21+Y78)))</f>
      </c>
      <c r="AC76" t="str"/>
      <c r="AD76" t="str"/>
      <c r="AG76" s="7">
        <v>4</v>
      </c>
      <c r="AH76">
        <f>IF(AG76=-1,0,IF(AG76=0,'词条'!I17,'词条'!J17))</f>
      </c>
      <c r="AI76">
        <f>IF(AG76=-1,0,IF(AG76&lt;=3,'词条'!I19,'词条'!J19))</f>
      </c>
      <c r="AJ76" s="5">
        <f>IF(AG76=-1,0,INT(AG78+AH76*'路线'!B31+AH78*'路线'!B35+AI76+AI78))</f>
      </c>
      <c r="AK76" s="5">
        <f>IF(AG76=-1,0,INT(AG78+AH76*'路线'!B31+AH78*'路线'!B35+AI76+AI78))</f>
      </c>
      <c r="AL76" s="5">
        <f>IF(AG76=-1,0,INT(AG78+AH76*'路线'!B31+AH78*'路线'!B35+AI76+AI78))</f>
      </c>
      <c r="AM76" t="str"/>
      <c r="AN76" t="str"/>
      <c r="AQ76" s="7">
        <v>4</v>
      </c>
      <c r="AR76" t="str"/>
      <c r="AS76">
        <f>IF(AQ76=-1,0,IF(AQ76&lt;=3,'词条'!I7,'词条'!J7))</f>
      </c>
      <c r="AT76" s="5">
        <f>IF(AQ76=-1,0,INT(AQ78+AR78+AS76*'路线'!B15+AS78))</f>
      </c>
      <c r="AU76" s="5">
        <f>IF(AQ76=-1,0,INT(AQ78+AR78+AS76*'路线'!B18+AS78))</f>
      </c>
      <c r="AV76" s="9">
        <f>IF(AQ76=-1,0,INT(AQ78+AR78+AS76*'路线'!B21+AS78))</f>
      </c>
      <c r="AW76" s="2">
        <f>AT76+AW75</f>
      </c>
      <c r="AX76" s="1" t="str"/>
      <c r="BA76" s="7">
        <v>4</v>
      </c>
      <c r="BB76">
        <f>IF(BA76=-1,0,IF(BA76=0,'词条'!I9,'词条'!J9))</f>
      </c>
      <c r="BC76">
        <f>IF(BA76=-1,0,IF(BA76&lt;=3,'词条'!I17,'词条'!J17))</f>
      </c>
      <c r="BD76" s="5">
        <f>IF(BA76=-1,0,IF('路线'!C6="计算",INT(BA78+BB76*('路线'!B28+'路线'!B29)+BB78*'路线'!B35+BC76*'路线'!B31+BC78+20),INT(BA78+BB76*('路线'!B28+'路线'!B29)+BB78*'路线'!B35+BC76*'路线'!B31+BC78)))</f>
      </c>
      <c r="BE76" s="5">
        <f>IF(BA76=-1,0,IF('路线'!C6="计算",INT(BA78+BB76*('路线'!B28+'路线'!B29)+BB78*'路线'!B35+BC76*'路线'!B31+BC78+20),INT(BA78+BB76*('路线'!B28+'路线'!B29)+BB78*'路线'!B35+BC76*'路线'!B31+BC78)))</f>
      </c>
      <c r="BF76" s="9">
        <f>IF(BA76=-1,0,IF('路线'!C6="计算",INT(BA78+BB76*('路线'!B28+'路线'!B29)+BB78*'路线'!B35+BC76*'路线'!B31+BC78+20),INT(BA78+BB76*('路线'!B28+'路线'!B29)+BB78*'路线'!B35+BC76*'路线'!B31+BC78)))</f>
      </c>
      <c r="BG76" s="1" t="str"/>
      <c r="BH76" s="1" t="str"/>
    </row>
    <row customHeight="true" ht="16" r="77">
      <c r="C77" t="str">
        <v>百分比</v>
      </c>
      <c r="D77" t="str">
        <v>sp训练</v>
      </c>
      <c r="E77" t="str">
        <v>事件</v>
      </c>
      <c r="F77" s="14" t="str">
        <v>SP</v>
      </c>
      <c r="I77" t="str"/>
      <c r="J77" t="str"/>
      <c r="M77" t="str">
        <v>百分比</v>
      </c>
      <c r="N77" t="str">
        <v>sp训练</v>
      </c>
      <c r="O77" t="str">
        <v>事件</v>
      </c>
      <c r="P77" s="13" t="str"/>
      <c r="S77" t="str"/>
      <c r="T77" t="str"/>
      <c r="W77" t="str">
        <v>百分比</v>
      </c>
      <c r="X77" t="str">
        <v>强化</v>
      </c>
      <c r="Y77" t="str">
        <v>事件</v>
      </c>
      <c r="Z77" s="13" t="str"/>
      <c r="AC77" t="str"/>
      <c r="AD77" t="str"/>
      <c r="AG77" t="str">
        <v>基础值</v>
      </c>
      <c r="AH77" t="str">
        <v>删卡</v>
      </c>
      <c r="AI77" t="str">
        <v>事件</v>
      </c>
      <c r="AJ77" s="13" t="str"/>
      <c r="AM77" t="str"/>
      <c r="AN77" t="str"/>
      <c r="AQ77" t="str">
        <v>基础值</v>
      </c>
      <c r="AR77" t="str">
        <v>试验终了</v>
      </c>
      <c r="AS77" t="str">
        <v>事件</v>
      </c>
      <c r="AT77" s="14" t="str">
        <v>SP</v>
      </c>
      <c r="AW77" s="2">
        <f>AU76+AW75</f>
      </c>
      <c r="AX77" s="1" t="str"/>
      <c r="BA77" t="str">
        <v>基础值</v>
      </c>
      <c r="BB77" t="str">
        <v>删卡</v>
      </c>
      <c r="BC77" t="str">
        <v>事件</v>
      </c>
      <c r="BD77" s="13" t="str"/>
      <c r="BG77" s="1" t="str"/>
      <c r="BH77" s="1" t="str"/>
    </row>
    <row customHeight="true" ht="16" r="78">
      <c r="C78">
        <f>IF(C76=-1,0,INDEX('词条'!C4:G4,C76+1))</f>
      </c>
      <c r="D78">
        <f>IF(C76=-1,0,IF(C76&lt;=2,'词条'!C7,'词条'!D7))</f>
      </c>
      <c r="E78">
        <f>IF(C76=-1,0,CHOOSE(C76+1,'词条'!C2,'词条'!D2,'词条'!D2,'词条'!D2,'词条'!E2))</f>
      </c>
      <c r="F78" s="10" t="str">
        <v>感性</v>
      </c>
      <c r="I78" t="str"/>
      <c r="J78" t="str"/>
      <c r="M78">
        <f>IF(M76=-1,0,INDEX('词条'!C4:G4,M76+1))</f>
      </c>
      <c r="N78">
        <f>IF(M76=-1,0,IF(M76&lt;=2,'词条'!C7,'词条'!D7))</f>
      </c>
      <c r="O78">
        <f>IF(M76=-1,0,CHOOSE(M76+1,'词条'!C2,'词条'!D2,'词条'!D2,'词条'!D2,'词条'!E2))</f>
      </c>
      <c r="P78" s="10" t="str">
        <v>感性</v>
      </c>
      <c r="S78" t="str"/>
      <c r="T78" t="str"/>
      <c r="W78">
        <f>IF(W76=-1,0,INDEX('词条'!C4:G4,W76+1))</f>
      </c>
      <c r="X78">
        <f>IF(W76=-1,0,IF(W76&lt;=2,'词条'!C9,'词条'!D9))</f>
      </c>
      <c r="Y78">
        <f>IF(W76=-1,0,CHOOSE(W76+1,'词条'!C2,'词条'!D2,'词条'!D2,'词条'!D2,'词条'!E2))</f>
      </c>
      <c r="Z78" s="11" t="str">
        <v>通用</v>
      </c>
      <c r="AC78" t="str"/>
      <c r="AD78" t="str"/>
      <c r="AG78">
        <f>IF(AG76=-1,0,INDEX('词条'!I3:M3,AG76+1))</f>
      </c>
      <c r="AH78">
        <f>IF(AG76=-1,0,IF(AG76&lt;=2,'词条'!I22,'词条'!J22))</f>
      </c>
      <c r="AI78">
        <f>IF(AG76=-1,0,CHOOSE(AG76+1,'词条'!I2,'词条'!I2,'词条'!J2,'词条'!J2,'词条'!K2))</f>
      </c>
      <c r="AJ78" s="12" t="str">
        <v>理性</v>
      </c>
      <c r="AM78" t="str"/>
      <c r="AN78" t="str"/>
      <c r="AQ78">
        <f>IF(AQ76=-1,0,INDEX('词条'!I3:M3,AQ76+1))</f>
      </c>
      <c r="AR78">
        <f>IF(AQ76=-1,0,IF(AQ76&lt;=2,'词条'!I19,'词条'!J19))</f>
      </c>
      <c r="AS78">
        <f>IF(AQ76=-1,0,CHOOSE(AQ76+1,'词条'!I2,'词条'!I2,'词条'!J2,'词条'!J2,'词条'!K2))</f>
      </c>
      <c r="AT78" s="12" t="str">
        <v>理性</v>
      </c>
      <c r="AW78" s="2">
        <f>AV76+AW75</f>
      </c>
      <c r="AX78" s="1" t="str"/>
      <c r="BA78">
        <f>IF(BA76=-1,0,INDEX('词条'!I3:M3,BA76+1))</f>
      </c>
      <c r="BB78">
        <f>IF(BA76=-1,0,IF(BA76&lt;=2,'词条'!I22,'词条'!J22))</f>
      </c>
      <c r="BC78">
        <f>IF(BA76=-1,0,CHOOSE(BA76+1,'词条'!I2,'词条'!I2,'词条'!J2,'词条'!J2,'词条'!K2))</f>
      </c>
      <c r="BD78" s="15" t="str">
        <v>非凡</v>
      </c>
      <c r="BG78" s="1" t="str"/>
      <c r="BH78" s="1" t="str"/>
    </row>
    <row customHeight="true" ht="16" r="79">
      <c r="A79" s="1" t="str"/>
      <c r="B79" s="1" t="str"/>
      <c r="C79" s="1" t="str"/>
      <c r="D79" s="1" t="str"/>
      <c r="E79" s="1" t="str"/>
      <c r="F79" s="1" t="str"/>
      <c r="G79" s="1" t="str"/>
      <c r="H79" s="1" t="str"/>
      <c r="I79" s="1" t="str"/>
      <c r="J79" s="1" t="str"/>
      <c r="K79" s="1" t="str"/>
      <c r="L79" s="1" t="str"/>
      <c r="M79" s="1" t="str"/>
      <c r="N79" s="1" t="str"/>
      <c r="O79" s="1" t="str"/>
      <c r="P79" s="1" t="str"/>
      <c r="Q79" s="1" t="str"/>
      <c r="R79" s="1" t="str"/>
      <c r="S79" s="1" t="str"/>
      <c r="T79" s="1" t="str"/>
      <c r="U79" s="1" t="str"/>
      <c r="V79" s="1" t="str"/>
      <c r="W79" s="1" t="str"/>
      <c r="X79" s="1" t="str"/>
      <c r="Y79" s="1" t="str"/>
      <c r="Z79" s="1" t="str"/>
      <c r="AA79" s="1" t="str"/>
      <c r="AB79" s="1" t="str"/>
      <c r="AC79" s="1" t="str"/>
      <c r="AD79" s="1" t="str"/>
      <c r="AE79" s="1" t="str"/>
      <c r="AF79" s="1" t="str"/>
      <c r="AG79" s="1" t="str"/>
      <c r="AH79" s="1" t="str"/>
      <c r="AI79" s="1" t="str"/>
      <c r="AJ79" s="1" t="str"/>
      <c r="AK79" s="1" t="str"/>
      <c r="AL79" s="1" t="str"/>
      <c r="AM79" s="1" t="str"/>
      <c r="AN79" s="1" t="str"/>
      <c r="AO79" s="1" t="str"/>
      <c r="AP79" s="1" t="str"/>
      <c r="AQ79" s="1" t="str"/>
      <c r="AR79" s="1" t="str"/>
      <c r="AS79" s="1" t="str"/>
      <c r="AT79" s="1" t="str"/>
      <c r="AU79" s="1" t="str"/>
      <c r="AV79" s="1" t="str"/>
      <c r="AW79" s="1" t="str"/>
      <c r="AX79" s="1" t="str"/>
      <c r="AY79" s="1" t="str"/>
      <c r="AZ79" s="1" t="str"/>
      <c r="BA79" s="1" t="str"/>
      <c r="BB79" s="1" t="str"/>
      <c r="BC79" s="1" t="str"/>
      <c r="BD79" s="1" t="str"/>
      <c r="BE79" s="1" t="str"/>
      <c r="BF79" s="1" t="str"/>
      <c r="BG79" s="1" t="str"/>
      <c r="BH79" s="1" t="str"/>
    </row>
    <row customHeight="true" ht="16" r="80">
      <c r="A80" s="3" t="str">
        <v>はいっ、みんなも一緒に♪（fes3）</v>
      </c>
      <c r="H80" s="1" t="str"/>
      <c r="I80" t="str"/>
      <c r="J80" t="str"/>
      <c r="K80" s="3" t="str">
        <v>待ちなさーい！（蓝旗）</v>
      </c>
      <c r="R80" t="str"/>
      <c r="S80" t="str"/>
      <c r="T80" t="str"/>
      <c r="U80" t="str">
        <v>さみだれ（公交车站）</v>
      </c>
      <c r="AB80" s="1" t="str"/>
      <c r="AC80" s="1" t="str"/>
      <c r="AD80" s="1" t="str"/>
      <c r="AE80" s="1" t="str">
        <v>2名様、ご案内～♪（毛球偷吃）</v>
      </c>
      <c r="AL80" s="1" t="str"/>
      <c r="AM80" s="2" t="str">
        <v>道具属性</v>
      </c>
      <c r="AN80" s="25" t="str">
        <v>元气抓卡</v>
      </c>
      <c r="AO80" s="1" t="str">
        <v>カロリー/2でハッピー×2（包子）</v>
      </c>
      <c r="AV80" s="1" t="str"/>
      <c r="AW80" s="1" t="str"/>
      <c r="AX80" s="1" t="str"/>
      <c r="AY80" s="1" t="str">
        <v>奥義、三重とび！（花式跳绳）</v>
      </c>
      <c r="BF80" s="1" t="str"/>
      <c r="BG80" s="2" t="str">
        <v>道具属性</v>
      </c>
      <c r="BH80" s="25" t="str">
        <v>全力抓卡</v>
      </c>
    </row>
    <row customHeight="true" ht="63" r="81">
      <c r="A81" s="13"/>
      <c r="C81" t="str">
        <v>破数</v>
      </c>
      <c r="D81" t="str"/>
      <c r="E81" t="str">
        <v>外出</v>
      </c>
      <c r="F81" s="8" t="str">
        <v>第一属性</v>
      </c>
      <c r="G81" s="5" t="str">
        <v>第二属性</v>
      </c>
      <c r="H81" s="6" t="str">
        <v>第三属性</v>
      </c>
      <c r="I81" t="str"/>
      <c r="J81" t="str"/>
      <c r="K81" s="13"/>
      <c r="M81" t="str">
        <v>破数</v>
      </c>
      <c r="N81" t="str"/>
      <c r="O81" t="str">
        <v>抓a卡</v>
      </c>
      <c r="P81" s="8" t="str">
        <v>第一属性</v>
      </c>
      <c r="Q81" s="5" t="str">
        <v>第二属性</v>
      </c>
      <c r="R81" s="6" t="str">
        <v>第三属性</v>
      </c>
      <c r="S81" t="str"/>
      <c r="T81" t="str"/>
      <c r="U81" s="13"/>
      <c r="W81" t="str">
        <v>破数</v>
      </c>
      <c r="X81" t="str"/>
      <c r="Y81" t="str">
        <v>sp训练</v>
      </c>
      <c r="Z81" s="8" t="str">
        <v>第一属性</v>
      </c>
      <c r="AA81" s="5" t="str">
        <v>第二属性</v>
      </c>
      <c r="AB81" s="6" t="str">
        <v>第三属性</v>
      </c>
      <c r="AC81" t="str"/>
      <c r="AD81" t="str"/>
      <c r="AG81" t="str">
        <v>破数</v>
      </c>
      <c r="AH81" t="str">
        <v>外出</v>
      </c>
      <c r="AI81" t="str">
        <v>强化</v>
      </c>
      <c r="AJ81" s="8" t="str">
        <v>第一属性</v>
      </c>
      <c r="AK81" s="5" t="str">
        <v>第二属性</v>
      </c>
      <c r="AL81" s="6" t="str">
        <v>第三属性</v>
      </c>
      <c r="AM81" s="24">
        <f>AN81*6</f>
      </c>
      <c r="AN81" s="25">
        <v>10</v>
      </c>
      <c r="AO81" s="1"/>
      <c r="AQ81" t="str">
        <v>破数</v>
      </c>
      <c r="AR81" t="str">
        <v>强化</v>
      </c>
      <c r="AS81" t="str">
        <v>sp训练</v>
      </c>
      <c r="AT81" s="8" t="str">
        <v>第一属性</v>
      </c>
      <c r="AU81" s="5" t="str">
        <v>第二属性</v>
      </c>
      <c r="AV81" s="6" t="str">
        <v>第三属性</v>
      </c>
      <c r="AW81" s="1" t="str"/>
      <c r="AX81" s="1" t="str"/>
      <c r="AY81" s="1"/>
      <c r="BA81" t="str">
        <v>破数</v>
      </c>
      <c r="BB81" t="str">
        <v>m强化</v>
      </c>
      <c r="BC81" t="str">
        <v>营业</v>
      </c>
      <c r="BD81" s="5" t="str">
        <v>第一属性</v>
      </c>
      <c r="BE81" s="9" t="str">
        <v>第二属性</v>
      </c>
      <c r="BF81" s="5" t="str">
        <v>第三属性</v>
      </c>
      <c r="BG81" s="24">
        <f>BH81*6</f>
      </c>
      <c r="BH81" s="25">
        <v>10</v>
      </c>
    </row>
    <row customHeight="true" ht="16" r="82">
      <c r="C82" s="7">
        <v>4</v>
      </c>
      <c r="D82" t="str"/>
      <c r="E82">
        <f>IF(C82=-1,0,IF(C82&lt;=3,'词条'!C17,'词条'!D17))</f>
      </c>
      <c r="F82" s="8">
        <f>IF(C82=-1,0,INT((C84/100)*'路线'!B11+E82*'路线'!B31+E84))</f>
      </c>
      <c r="G82" s="5">
        <f>IF(C82=-1,0,INT((C84/100)*'路线'!B12+E82*'路线'!B31+E84))</f>
      </c>
      <c r="H82" s="6">
        <f>IF(C82=-1,0,INT((C84/100)*'路线'!B13+E82*'路线'!B31+E84))</f>
      </c>
      <c r="I82" t="str"/>
      <c r="J82" t="str"/>
      <c r="M82" s="7">
        <v>4</v>
      </c>
      <c r="N82" t="str"/>
      <c r="O82">
        <f>IF(M82=-1,0,IF(M82&lt;=3,'词条'!C14,'词条'!D14))</f>
      </c>
      <c r="P82" s="8">
        <f>IF(M82=-1,0,INT(M84+N84*'路线'!B15+O82*'路线'!B23+O84))</f>
      </c>
      <c r="Q82" s="5">
        <f>IF(M82=-1,0,INT(M84+N84*'路线'!B18+O82*'路线'!B23+O84))</f>
      </c>
      <c r="R82" s="6">
        <f>IF(M82=-1,0,INT(M84+N84*'路线'!B21+O82*'路线'!B23+O84))</f>
      </c>
      <c r="S82" t="str"/>
      <c r="T82" t="str"/>
      <c r="W82" s="7">
        <v>4</v>
      </c>
      <c r="X82" t="str"/>
      <c r="Y82">
        <f>IF(W82=-1,0,IF(W82&lt;=3,'词条'!F7,'词条'!G7))</f>
      </c>
      <c r="Z82" s="8">
        <f>IF(W82=-1,0,IF('路线'!C6="计算",INT((W84/100)*'路线'!B11+X84*'路线'!B29+Y82*'路线'!B15+Y84+20),INT((W84/100)*'路线'!B11+X84*'路线'!B29+Y82*'路线'!B15+Y84)))</f>
      </c>
      <c r="AA82" s="5">
        <f>IF(W82=-1,0,IF('路线'!C6="计算",INT((W84/100)*'路线'!B12+X84*'路线'!B29+Y82*'路线'!B18+Y84+20),INT((W84/100)*'路线'!B12+X84*'路线'!B29+Y82*'路线'!B18+Y84)))</f>
      </c>
      <c r="AB82" s="6">
        <f>IF(W82=-1,0,IF('路线'!C6="计算",INT((W84/100)*'路线'!B13+X84*'路线'!B29+Y82*'路线'!B21+Y84+20),INT((W84/100)*'路线'!B13+X84*'路线'!B29+Y82*'路线'!B21+Y84)))</f>
      </c>
      <c r="AC82" t="str"/>
      <c r="AD82" t="str"/>
      <c r="AG82" s="7">
        <v>4</v>
      </c>
      <c r="AH82">
        <f>IF(AG82=-1,0,IF(AG82=0,'词条'!I17,'词条'!J17))</f>
      </c>
      <c r="AI82">
        <f>IF(AG82=-1,0,IF(AG82&lt;=3,'词条'!I9,'词条'!J9))</f>
      </c>
      <c r="AJ82" s="5">
        <f>IF(AG82=-1,0,INT(AG84+AH82*'路线'!B31+AH84*'路线'!B30+AI82*('路线'!B28+'路线'!B29)+AI84))</f>
      </c>
      <c r="AK82" s="5">
        <f>IF(AG82=-1,0,INT(AG84+AH82*'路线'!B31+AH84*'路线'!B30+AI82*('路线'!B28+'路线'!B29)+AI84))</f>
      </c>
      <c r="AL82" s="5">
        <f>IF(AG82=-1,0,INT(AG84+AH82*'路线'!B31+AH84*'路线'!B30+AI82*('路线'!B28+'路线'!B29)+AI84))</f>
      </c>
      <c r="AM82" s="2">
        <f>AJ82+AM81</f>
      </c>
      <c r="AN82" s="1" t="str"/>
      <c r="AQ82" s="7">
        <v>4</v>
      </c>
      <c r="AR82">
        <f>IF(AQ82=-1,0,IF(AQ82=0,'词条'!I9,'词条'!J9))</f>
      </c>
      <c r="AS82">
        <f>IF(AQ82=-1,0,IF(AQ82&lt;=3,'词条'!I7,'词条'!J7))</f>
      </c>
      <c r="AT82" s="5">
        <f>IF(AQ82=-1,0,INT(AQ84+AR82*('路线'!B28+'路线'!B29)+AR84*'路线'!B34+AS82*'路线'!B15+AS84))</f>
      </c>
      <c r="AU82" s="5">
        <f>IF(AQ82=-1,0,INT(AQ84+AR82*('路线'!B28+'路线'!B29)+AR84*'路线'!B34+AS82*'路线'!B18+AS84))</f>
      </c>
      <c r="AV82" s="5">
        <f>IF(AQ82=-1,0,INT(AQ84+AR82*('路线'!B28+'路线'!B29)+AR84*'路线'!B34+AS82*'路线'!B21+AS84))</f>
      </c>
      <c r="AW82" s="1" t="str"/>
      <c r="AX82" s="1" t="str"/>
      <c r="BA82" s="7">
        <v>4</v>
      </c>
      <c r="BB82">
        <f>IF(BA82=-1,0,IF(BA82=0,'词条'!I10,'词条'!J10))</f>
      </c>
      <c r="BC82">
        <f>IF(BA82=-1,0,IF(BA82&lt;=3,'词条'!I16,'词条'!J16))</f>
      </c>
      <c r="BD82" s="5">
        <f>IF(BA82=-1,0,INT(BA84+BB82*'路线'!B29+BB84+BC82*'路线'!B30+BC84))</f>
      </c>
      <c r="BE82" s="5">
        <f>IF(BA82=-1,0,INT(BA84+BB82*'路线'!B29+BB84+BC82*'路线'!B30+BC84))</f>
      </c>
      <c r="BF82" s="9">
        <f>IF(BA82=-1,0,INT(BA84+BB82*'路线'!B29+BB84+BC82*'路线'!B30+BC84))</f>
      </c>
      <c r="BG82" s="2">
        <f>BD82+BG81</f>
      </c>
      <c r="BH82" s="1" t="str"/>
    </row>
    <row customHeight="true" ht="16" r="83">
      <c r="C83" t="str">
        <v>百分比</v>
      </c>
      <c r="D83" t="str"/>
      <c r="E83" t="str">
        <v>事件</v>
      </c>
      <c r="F83" s="14" t="str">
        <v>SP</v>
      </c>
      <c r="I83" t="str"/>
      <c r="J83" t="str"/>
      <c r="M83" t="str">
        <v>基础值</v>
      </c>
      <c r="N83" t="str">
        <v>sp训练</v>
      </c>
      <c r="O83" t="str">
        <v>事件</v>
      </c>
      <c r="P83" s="14" t="str">
        <v>SP</v>
      </c>
      <c r="S83" t="str"/>
      <c r="T83" t="str"/>
      <c r="W83" t="str">
        <v>百分比</v>
      </c>
      <c r="X83" t="str">
        <v>m强化</v>
      </c>
      <c r="Y83" t="str">
        <v>事件</v>
      </c>
      <c r="Z83" s="13" t="str"/>
      <c r="AC83" t="str"/>
      <c r="AD83" t="str"/>
      <c r="AG83" t="str">
        <v>基础值</v>
      </c>
      <c r="AH83" t="str">
        <v>营业</v>
      </c>
      <c r="AI83" t="str">
        <v>事件</v>
      </c>
      <c r="AJ83" s="13" t="str"/>
      <c r="AM83" s="2">
        <f>AK82+AM81</f>
      </c>
      <c r="AN83" s="1" t="str"/>
      <c r="AQ83" t="str">
        <v>基础值</v>
      </c>
      <c r="AR83" t="str">
        <v>支给</v>
      </c>
      <c r="AS83" t="str">
        <v>事件</v>
      </c>
      <c r="AT83" s="13" t="str"/>
      <c r="AW83" s="1" t="str"/>
      <c r="AX83" s="1" t="str"/>
      <c r="BA83" t="str">
        <v>基础值</v>
      </c>
      <c r="BB83" t="str">
        <v>试验终了</v>
      </c>
      <c r="BC83" t="str">
        <v>事件</v>
      </c>
      <c r="BD83" s="13" t="str"/>
      <c r="BG83" s="2">
        <f>BE82+BG81</f>
      </c>
      <c r="BH83" s="1" t="str"/>
    </row>
    <row customHeight="true" ht="16" r="84">
      <c r="C84">
        <f>IF(C82=-1,0,INDEX('词条'!C4:G4,C82+1))</f>
      </c>
      <c r="D84" t="str"/>
      <c r="E84">
        <f>IF(C82=-1,0,CHOOSE(C82+1,'词条'!C2,'词条'!D2,'词条'!D2,'词条'!D2,'词条'!E2))</f>
      </c>
      <c r="F84" s="15" t="str">
        <v>非凡</v>
      </c>
      <c r="I84" t="str"/>
      <c r="J84" t="str"/>
      <c r="M84">
        <f>IF(M82=-1,0,INDEX('词条'!C3:G3,M82+1))</f>
      </c>
      <c r="N84">
        <f>IF(M82=-1,0,IF(M82&lt;=2,'词条'!C7,'词条'!D7))</f>
      </c>
      <c r="O84">
        <f>IF(M82=-1,0,CHOOSE(M82+1,'词条'!C2,'词条'!D2,'词条'!D2,'词条'!D2,'词条'!E2))</f>
      </c>
      <c r="P84" s="15" t="str">
        <v>非凡</v>
      </c>
      <c r="S84" t="str"/>
      <c r="T84" t="str"/>
      <c r="W84">
        <f>IF(W82=-1,0,INDEX('词条'!C4:G4,W82+1))</f>
      </c>
      <c r="X84">
        <f>IF(W82=-1,0,IF(W82&lt;=2,'词条'!F10,'词条'!G10))</f>
      </c>
      <c r="Y84">
        <f>IF(W82=-1,0,CHOOSE(W82+1,'词条'!C2,'词条'!D2,'词条'!D2,'词条'!D2,'词条'!E2))</f>
      </c>
      <c r="Z84" s="15" t="str">
        <v>非凡</v>
      </c>
      <c r="AC84" t="str"/>
      <c r="AD84" t="str"/>
      <c r="AG84">
        <f>IF(AG82=-1,0,INDEX('词条'!I3:M3,AG82+1))</f>
      </c>
      <c r="AH84">
        <f>IF(AG82=-1,0,IF(AG82&lt;=2,'词条'!I16,'词条'!J16))</f>
      </c>
      <c r="AI84">
        <f>IF(AG82=-1,0,CHOOSE(AG82+1,'词条'!I2,'词条'!I2,'词条'!J2,'词条'!J2,'词条'!K2))</f>
      </c>
      <c r="AJ84" s="11" t="str">
        <v>通用</v>
      </c>
      <c r="AM84" s="2">
        <f>AL82+AM81</f>
      </c>
      <c r="AN84" s="1" t="str"/>
      <c r="AQ84">
        <f>IF(AQ82=-1,0,INDEX('词条'!I3:M3,AQ82+1))</f>
      </c>
      <c r="AR84">
        <f>IF(AQ82=-1,0,IF(AQ82&lt;=2,'词条'!I12,'词条'!J12))</f>
      </c>
      <c r="AS84">
        <f>IF(AQ82=-1,0,CHOOSE(AQ82+1,'词条'!I2,'词条'!I2,'词条'!J2,'词条'!J2,'词条'!K2))</f>
      </c>
      <c r="AT84" s="11" t="str">
        <v>通用</v>
      </c>
      <c r="AW84" s="1" t="str"/>
      <c r="AX84" s="1" t="str"/>
      <c r="BA84">
        <f>IF(BA82=-1,0,INDEX('词条'!I3:M3,BA82+1))</f>
      </c>
      <c r="BB84">
        <f>IF(BA82=-1,0,IF(BA82&lt;=2,'词条'!I19,'词条'!J19))</f>
      </c>
      <c r="BC84">
        <f>IF(BA82=-1,0,CHOOSE(BA82+1,'词条'!I2,'词条'!I2,'词条'!J2,'词条'!J2,'词条'!K2))</f>
      </c>
      <c r="BD84" s="15" t="str">
        <v>非凡</v>
      </c>
      <c r="BG84" s="2">
        <f>BF82+BG81</f>
      </c>
      <c r="BH84" s="1" t="str"/>
    </row>
    <row customHeight="true" ht="16" r="85">
      <c r="A85" s="1" t="str"/>
      <c r="B85" s="1" t="str"/>
      <c r="C85" s="1" t="str"/>
      <c r="D85" s="1" t="str"/>
      <c r="E85" s="1" t="str"/>
      <c r="F85" s="1" t="str"/>
      <c r="G85" s="1" t="str"/>
      <c r="H85" s="1" t="str"/>
      <c r="I85" s="1" t="str"/>
      <c r="J85" s="1" t="str"/>
      <c r="K85" s="1" t="str"/>
      <c r="L85" s="1" t="str"/>
      <c r="M85" s="1" t="str"/>
      <c r="N85" s="1" t="str"/>
      <c r="O85" s="1" t="str"/>
      <c r="P85" s="1" t="str"/>
      <c r="Q85" s="1" t="str"/>
      <c r="R85" s="1" t="str"/>
      <c r="S85" s="1" t="str"/>
      <c r="T85" s="1" t="str"/>
      <c r="U85" s="1" t="str"/>
      <c r="V85" s="1" t="str"/>
      <c r="W85" s="1" t="str"/>
      <c r="X85" s="1" t="str"/>
      <c r="Y85" s="1" t="str"/>
      <c r="Z85" s="1" t="str"/>
      <c r="AA85" s="1" t="str"/>
      <c r="AB85" s="1" t="str"/>
      <c r="AC85" s="1" t="str"/>
      <c r="AD85" s="1" t="str"/>
      <c r="AE85" s="1" t="str"/>
      <c r="AF85" s="1" t="str"/>
      <c r="AG85" s="1" t="str"/>
      <c r="AH85" s="1" t="str"/>
      <c r="AI85" s="1" t="str"/>
      <c r="AJ85" s="1" t="str"/>
      <c r="AK85" s="1" t="str"/>
      <c r="AL85" s="1" t="str"/>
      <c r="AM85" s="1" t="str"/>
      <c r="AN85" s="1" t="str"/>
      <c r="AO85" s="1" t="str"/>
      <c r="AP85" s="1" t="str"/>
      <c r="AQ85" s="1" t="str"/>
      <c r="AR85" s="1" t="str"/>
      <c r="AS85" s="1" t="str"/>
      <c r="AT85" s="1" t="str"/>
      <c r="AU85" s="1" t="str"/>
      <c r="AV85" s="1" t="str"/>
      <c r="AW85" s="1" t="str"/>
      <c r="AX85" s="1" t="str"/>
      <c r="AY85" s="1" t="str"/>
      <c r="AZ85" s="1" t="str"/>
      <c r="BA85" s="1" t="str"/>
      <c r="BB85" s="1" t="str"/>
      <c r="BC85" s="1" t="str"/>
      <c r="BD85" s="1" t="str"/>
      <c r="BE85" s="1" t="str"/>
      <c r="BF85" s="1" t="str"/>
      <c r="BG85" s="1" t="str"/>
      <c r="BH85" s="1" t="str"/>
    </row>
    <row customHeight="true" ht="16" r="86">
      <c r="A86" s="3" t="str">
        <v>絶対にお渡ししますわっ！（巧克力）</v>
      </c>
      <c r="H86" s="1" t="str"/>
      <c r="I86" t="str"/>
      <c r="J86" t="str"/>
      <c r="K86" s="3" t="str">
        <v>これが私達の、3年間（蓝书签）</v>
      </c>
      <c r="R86" t="str"/>
      <c r="S86" t="str"/>
      <c r="T86" t="str"/>
      <c r="U86" t="str">
        <v>あったかいね（围巾）</v>
      </c>
      <c r="AB86" s="1" t="str"/>
      <c r="AC86" s="1" t="str"/>
      <c r="AD86" s="1" t="str"/>
      <c r="AE86" s="1" t="str"/>
      <c r="AF86" s="1" t="str"/>
      <c r="AG86" t="str"/>
      <c r="AH86" t="str"/>
      <c r="AI86" t="str"/>
      <c r="AJ86" t="str"/>
      <c r="AK86" t="str"/>
      <c r="AL86" t="str"/>
      <c r="AM86" t="str"/>
      <c r="AN86" s="1" t="str"/>
      <c r="AO86" t="str">
        <v>目指すはテッペン（蓝老师）</v>
      </c>
      <c r="AV86" s="1" t="str"/>
      <c r="AW86" s="1" t="str"/>
      <c r="AX86" s="1" t="str"/>
      <c r="AY86" t="str">
        <v>主菓子、甘い、薄茶、渋み（茶道）</v>
      </c>
      <c r="BF86" s="1" t="str"/>
      <c r="BG86" s="1" t="str"/>
      <c r="BH86" s="1" t="str"/>
    </row>
    <row customHeight="true" ht="63" r="87">
      <c r="A87" s="13"/>
      <c r="C87" t="str">
        <v>破数</v>
      </c>
      <c r="D87" t="str"/>
      <c r="E87" t="str">
        <v>外出</v>
      </c>
      <c r="F87" s="8" t="str">
        <v>第一属性</v>
      </c>
      <c r="G87" s="5" t="str">
        <v>第二属性</v>
      </c>
      <c r="H87" s="6" t="str">
        <v>第三属性</v>
      </c>
      <c r="I87" t="str"/>
      <c r="J87" t="str"/>
      <c r="K87" s="13"/>
      <c r="M87" t="str">
        <v>破数</v>
      </c>
      <c r="N87" t="str"/>
      <c r="O87" t="str">
        <v>营业</v>
      </c>
      <c r="P87" s="8" t="str">
        <v>第一属性</v>
      </c>
      <c r="Q87" s="5" t="str">
        <v>第二属性</v>
      </c>
      <c r="R87" s="6" t="str">
        <v>第三属性</v>
      </c>
      <c r="S87" t="str"/>
      <c r="T87" t="str"/>
      <c r="U87" s="13"/>
      <c r="W87" t="str">
        <v>破数</v>
      </c>
      <c r="X87" t="str"/>
      <c r="Y87" t="str">
        <v>相谈</v>
      </c>
      <c r="Z87" s="8" t="str">
        <v>第一属性</v>
      </c>
      <c r="AA87" s="9" t="str">
        <v>第二属性</v>
      </c>
      <c r="AB87" s="6" t="str">
        <v>第三属性</v>
      </c>
      <c r="AC87" s="1" t="str"/>
      <c r="AD87" s="1" t="str"/>
      <c r="AE87" s="1" t="str"/>
      <c r="AF87" s="1" t="str"/>
      <c r="AG87" t="str"/>
      <c r="AH87" t="str"/>
      <c r="AI87" t="str"/>
      <c r="AJ87" t="str"/>
      <c r="AK87" t="str"/>
      <c r="AL87" t="str"/>
      <c r="AM87" t="str"/>
      <c r="AN87" s="1" t="str"/>
      <c r="AO87" s="13"/>
      <c r="AQ87" t="str">
        <v>破数</v>
      </c>
      <c r="AR87" t="str"/>
      <c r="AS87" t="str"/>
      <c r="AT87" s="8" t="str">
        <v>第一属性</v>
      </c>
      <c r="AU87" s="5" t="str">
        <v>第二属性</v>
      </c>
      <c r="AV87" s="6" t="str">
        <v>第三属性</v>
      </c>
      <c r="AW87" s="1" t="str"/>
      <c r="AX87" s="1" t="str"/>
      <c r="AY87" s="13"/>
      <c r="BA87" t="str">
        <v>破数</v>
      </c>
      <c r="BB87" t="str"/>
      <c r="BC87" t="str">
        <v>sp训练</v>
      </c>
      <c r="BD87" s="5" t="str">
        <v>第一属性</v>
      </c>
      <c r="BE87" s="9" t="str">
        <v>第二属性</v>
      </c>
      <c r="BF87" s="5" t="str">
        <v>第三属性</v>
      </c>
      <c r="BG87" s="1" t="str"/>
      <c r="BH87" s="1" t="str"/>
    </row>
    <row customHeight="true" ht="16" r="88">
      <c r="C88" s="7">
        <v>4</v>
      </c>
      <c r="D88" t="str"/>
      <c r="E88">
        <f>IF(C88=-1,0,IF(C88&lt;=3,'词条'!C17,'词条'!D17))</f>
      </c>
      <c r="F88" s="8">
        <f>IF(C88=-1,0,INT(C90+D90*'路线'!B14+E88*'路线'!B31+E90))</f>
      </c>
      <c r="G88" s="5">
        <f>IF(C88=-1,0,INT(C90+D90*'路线'!B17+E88*'路线'!B31+E90))</f>
      </c>
      <c r="H88" s="6">
        <f>IF(C88=-1,0,INT(C90+D90*'路线'!B20+E88*'路线'!B31+E90))</f>
      </c>
      <c r="I88" t="str"/>
      <c r="J88" t="str"/>
      <c r="M88" s="7">
        <v>4</v>
      </c>
      <c r="N88" t="str"/>
      <c r="O88">
        <f>IF(M88=-1,0,IF(M88&lt;=3,'词条'!C16,'词条'!D16))</f>
      </c>
      <c r="P88" s="8">
        <f>IF(M88=-1,0,INT((M90/100)*'路线'!B11+N90*'路线'!B15+O88*'路线'!B30+O90))</f>
      </c>
      <c r="Q88" s="5">
        <f>IF(M88=-1,0,INT((M90/100)*'路线'!B12+N90*'路线'!B18+O88*'路线'!B30+O90))</f>
      </c>
      <c r="R88" s="6">
        <f>IF(M88=-1,0,INT((M90/100)*'路线'!B13+N90*'路线'!B21+O88*'路线'!B30+O90))</f>
      </c>
      <c r="S88" t="str"/>
      <c r="T88" t="str"/>
      <c r="W88" s="7">
        <v>4</v>
      </c>
      <c r="X88" t="str"/>
      <c r="Y88">
        <f>IF(W88=-1,0,IF(W88&lt;=3,'词条'!C18,'词条'!D18))</f>
      </c>
      <c r="Z88" s="8">
        <f>IF(W88=-1,0,INT(W90+X90*'路线'!B24+Y88*'路线'!B33+Y90))</f>
      </c>
      <c r="AA88" s="9">
        <f>IF(W88=-1,0,INT(W90+X90*'路线'!B24+Y88*'路线'!B33+Y90))</f>
      </c>
      <c r="AB88" s="6">
        <f>IF(W88=-1,0,INT(W90+X90*'路线'!B24+Y88*'路线'!B33+Y90))</f>
      </c>
      <c r="AC88" s="1" t="str"/>
      <c r="AD88" s="1" t="str"/>
      <c r="AE88" s="1" t="str"/>
      <c r="AF88" s="1" t="str"/>
      <c r="AG88" t="str"/>
      <c r="AH88" t="str"/>
      <c r="AI88" t="str"/>
      <c r="AJ88" t="str"/>
      <c r="AK88" t="str"/>
      <c r="AL88" t="str"/>
      <c r="AM88" t="str"/>
      <c r="AN88" s="1" t="str"/>
      <c r="AQ88" s="7">
        <v>4</v>
      </c>
      <c r="AR88" t="str"/>
      <c r="AS88" t="str"/>
      <c r="AT88" s="5">
        <f>IF(AQ88=-1,0,INT(AQ90+AR90*'路线'!B33+AS90))</f>
      </c>
      <c r="AU88" s="5">
        <f>IF(AQ88=-1,0,INT(AQ90+AR90*'路线'!B33+AS90))</f>
      </c>
      <c r="AV88" s="9">
        <f>IF(AQ88=-1,0,INT(AQ90+AR90*'路线'!B33+AS90))</f>
      </c>
      <c r="AW88" s="1" t="str"/>
      <c r="AX88" s="1" t="str"/>
      <c r="BA88" s="7">
        <v>4</v>
      </c>
      <c r="BB88" t="str"/>
      <c r="BC88">
        <f>IF(BA88=-1,0,IF(BA88&lt;=3,'词条'!I7,'词条'!J7))</f>
      </c>
      <c r="BD88" s="5">
        <f>IF(BA88=-1,0,INT(BA90+BB90+BC88*'路线'!B15+BC90))</f>
      </c>
      <c r="BE88" s="5">
        <f>IF(BA88=-1,0,INT(BA90+BB90+BC88*'路线'!B18+BC90))</f>
      </c>
      <c r="BF88" s="9">
        <f>IF(BA88=-1,0,INT(BA90+BB90+BC88*'路线'!B21+BC90))</f>
      </c>
      <c r="BG88" s="1" t="str"/>
      <c r="BH88" s="1" t="str"/>
    </row>
    <row customHeight="true" ht="16" r="89">
      <c r="C89" t="str">
        <v>基础值</v>
      </c>
      <c r="D89" t="str">
        <v>训练</v>
      </c>
      <c r="E89" t="str">
        <v>事件</v>
      </c>
      <c r="F89" s="14" t="str">
        <v>SP</v>
      </c>
      <c r="I89" t="str"/>
      <c r="J89" t="str"/>
      <c r="M89" t="str">
        <v>百分比</v>
      </c>
      <c r="N89" t="str">
        <v>sp训练</v>
      </c>
      <c r="O89" t="str">
        <v>事件</v>
      </c>
      <c r="P89" s="13" t="str"/>
      <c r="S89" t="str"/>
      <c r="T89" t="str"/>
      <c r="W89" t="str">
        <v>基础值</v>
      </c>
      <c r="X89" t="str">
        <v>抓m卡</v>
      </c>
      <c r="Y89" t="str">
        <v>事件</v>
      </c>
      <c r="Z89" s="14" t="str">
        <v>SP</v>
      </c>
      <c r="AC89" s="1" t="str"/>
      <c r="AD89" s="1" t="str"/>
      <c r="AE89" s="1" t="str"/>
      <c r="AF89" s="1" t="str"/>
      <c r="AG89" t="str"/>
      <c r="AH89" t="str"/>
      <c r="AI89" t="str"/>
      <c r="AJ89" t="str"/>
      <c r="AK89" t="str"/>
      <c r="AL89" t="str"/>
      <c r="AM89" t="str"/>
      <c r="AN89" s="1" t="str"/>
      <c r="AQ89" t="str">
        <v>基础值</v>
      </c>
      <c r="AR89" t="str">
        <v>相谈</v>
      </c>
      <c r="AS89" t="str">
        <v>事件</v>
      </c>
      <c r="AT89" s="14" t="str">
        <v>SP</v>
      </c>
      <c r="AW89" s="1" t="str"/>
      <c r="AX89" s="1" t="str"/>
      <c r="BA89" t="str">
        <v>基础值</v>
      </c>
      <c r="BB89" t="str">
        <v>试验终了</v>
      </c>
      <c r="BC89" t="str">
        <v>事件</v>
      </c>
      <c r="BD89" s="14" t="str">
        <v>SP</v>
      </c>
      <c r="BG89" s="1" t="str"/>
      <c r="BH89" s="1" t="str"/>
    </row>
    <row customHeight="true" ht="16" r="90">
      <c r="C90">
        <f>IF(C88=-1,0,INDEX('词条'!C3:G3,C88+1))</f>
      </c>
      <c r="D90">
        <f>IF(C88=-1,0,IF(C88&lt;=2,'词条'!C6,'词条'!D6))</f>
      </c>
      <c r="E90">
        <f>IF(C88=-1,0,CHOOSE(C88+1,'词条'!C2,'词条'!D2,'词条'!D2,'词条'!D2,'词条'!E2))</f>
      </c>
      <c r="F90" s="12" t="str">
        <v>理性</v>
      </c>
      <c r="I90" t="str"/>
      <c r="J90" t="str"/>
      <c r="M90">
        <f>IF(M88=-1,0,INDEX('词条'!C4:G4,M88+1))</f>
      </c>
      <c r="N90">
        <f>IF(M88=-1,0,IF(M88&lt;=2,'词条'!C7,'词条'!D7))</f>
      </c>
      <c r="O90">
        <f>IF(M88=-1,0,CHOOSE(M88+1,'词条'!C2,'词条'!D2,'词条'!D2,'词条'!D2,'词条'!E2))</f>
      </c>
      <c r="P90" s="11" t="str">
        <v>通用</v>
      </c>
      <c r="S90" t="str"/>
      <c r="T90" t="str"/>
      <c r="W90">
        <f>IF(W88=-1,0,INDEX('词条'!C3:G3,W88+1))</f>
      </c>
      <c r="X90">
        <f>IF(W88=-1,0,IF(W88&lt;=2,'词条'!C13,'词条'!D13))</f>
      </c>
      <c r="Y90">
        <f>IF(W88=-1,0,CHOOSE(W88+1,'词条'!C2,'词条'!D2,'词条'!D2,'词条'!D2,'词条'!E2))</f>
      </c>
      <c r="Z90" s="12" t="str">
        <v>理性</v>
      </c>
      <c r="AC90" s="1" t="str"/>
      <c r="AD90" s="1" t="str"/>
      <c r="AE90" s="1" t="str"/>
      <c r="AF90" s="1" t="str"/>
      <c r="AG90" t="str"/>
      <c r="AH90" t="str"/>
      <c r="AI90" t="str"/>
      <c r="AJ90" t="str"/>
      <c r="AK90" t="str"/>
      <c r="AL90" t="str"/>
      <c r="AM90" t="str"/>
      <c r="AN90" s="1" t="str"/>
      <c r="AQ90">
        <f>IF(AQ88=-1,0,INDEX('词条'!I3:M3,AQ88+1))</f>
      </c>
      <c r="AR90">
        <f>IF(AQ88=-1,0,IF(AQ88&lt;=2,'词条'!I18,'词条'!J18))</f>
      </c>
      <c r="AS90">
        <f>IF(AQ88=-1,0,CHOOSE(AQ88+1,'词条'!I2,'词条'!I2,'词条'!J2,'词条'!J2,'词条'!K2))</f>
      </c>
      <c r="AT90" s="11" t="str">
        <v>通用</v>
      </c>
      <c r="AW90" s="1" t="str"/>
      <c r="AX90" s="1" t="str"/>
      <c r="BA90">
        <f>IF(BA88=-1,0,INDEX('词条'!I3:M3,BA88+1))</f>
      </c>
      <c r="BB90">
        <f>IF(BA88=-1,0,IF(BA88&lt;=2,'词条'!I19,'词条'!J19))</f>
      </c>
      <c r="BC90">
        <f>IF(BA88=-1,0,CHOOSE(BA88+1,'词条'!I2,'词条'!I2,'词条'!J2,'词条'!J2,'词条'!K2))</f>
      </c>
      <c r="BD90" s="15" t="str">
        <v>非凡</v>
      </c>
      <c r="BG90" s="1" t="str"/>
      <c r="BH90" s="1" t="str"/>
    </row>
    <row customHeight="true" ht="16" r="91">
      <c r="A91" s="1" t="str"/>
      <c r="B91" s="1" t="str"/>
      <c r="C91" s="1" t="str"/>
      <c r="D91" s="1" t="str"/>
      <c r="E91" s="1" t="str"/>
      <c r="F91" s="1" t="str"/>
      <c r="G91" s="1" t="str"/>
      <c r="H91" s="1" t="str"/>
      <c r="I91" s="1" t="str"/>
      <c r="J91" s="1" t="str"/>
      <c r="K91" s="1" t="str"/>
      <c r="L91" s="1" t="str"/>
      <c r="M91" s="1" t="str"/>
      <c r="N91" s="1" t="str"/>
      <c r="O91" s="1" t="str"/>
      <c r="P91" s="1" t="str"/>
      <c r="Q91" s="1" t="str"/>
      <c r="R91" s="1" t="str"/>
      <c r="S91" s="1" t="str"/>
      <c r="T91" s="1" t="str"/>
      <c r="U91" t="str"/>
      <c r="V91" s="1" t="str"/>
      <c r="W91" s="1" t="str"/>
      <c r="X91" s="1" t="str"/>
      <c r="Y91" s="1" t="str"/>
      <c r="Z91" s="1" t="str"/>
      <c r="AA91" s="1" t="str"/>
      <c r="AB91" s="1" t="str"/>
      <c r="AC91" s="1" t="str"/>
      <c r="AD91" s="1" t="str"/>
      <c r="AE91" s="1" t="str"/>
      <c r="AF91" s="1" t="str"/>
      <c r="AG91" s="1" t="str"/>
      <c r="AH91" s="1" t="str"/>
      <c r="AI91" s="1" t="str"/>
      <c r="AJ91" s="1" t="str"/>
      <c r="AK91" s="1" t="str"/>
      <c r="AL91" s="1" t="str"/>
      <c r="AM91" s="1" t="str"/>
      <c r="AN91" s="1" t="str"/>
      <c r="AO91" s="1" t="str"/>
      <c r="AP91" s="1" t="str"/>
      <c r="AQ91" s="1" t="str"/>
      <c r="AR91" s="1" t="str"/>
      <c r="AS91" s="1" t="str"/>
      <c r="AT91" s="1" t="str"/>
      <c r="AU91" s="1" t="str"/>
      <c r="AV91" s="1" t="str"/>
      <c r="AW91" s="1" t="str"/>
      <c r="AX91" s="1" t="str"/>
      <c r="AY91" s="1" t="str"/>
      <c r="AZ91" s="1" t="str"/>
      <c r="BA91" s="1" t="str"/>
      <c r="BB91" s="1" t="str"/>
      <c r="BC91" s="1" t="str"/>
      <c r="BD91" s="1" t="str"/>
      <c r="BE91" s="1" t="str"/>
      <c r="BF91" s="1" t="str"/>
      <c r="BG91" s="1" t="str"/>
      <c r="BH91" s="1" t="str"/>
    </row>
    <row customHeight="true" ht="16" r="92">
      <c r="A92" s="3" t="str">
        <v>さあ、もう一戦！（黑岩射手）</v>
      </c>
      <c r="H92" s="1" t="str"/>
      <c r="I92" t="str"/>
      <c r="J92" t="str"/>
      <c r="K92" t="str">
        <v>あなたたちのことが好き（秋千）</v>
      </c>
      <c r="R92" t="str"/>
      <c r="S92" t="str"/>
      <c r="T92" t="str"/>
      <c r="U92" s="3" t="str">
        <v>バレンタイン♡会議中ーっ！（情人节会议）</v>
      </c>
      <c r="AB92" s="1" t="str"/>
      <c r="AC92" s="1" t="str"/>
      <c r="AD92" s="1" t="str"/>
      <c r="AE92" s="1" t="str"/>
      <c r="AF92" s="1" t="str"/>
      <c r="AG92" s="1" t="str"/>
      <c r="AH92" s="1" t="str"/>
      <c r="AI92" s="1" t="str"/>
      <c r="AJ92" s="1" t="str"/>
      <c r="AK92" s="1" t="str"/>
      <c r="AL92" s="1" t="str"/>
      <c r="AM92" s="1" t="str"/>
      <c r="AN92" s="1" t="str"/>
      <c r="AO92" s="1" t="str">
        <v>ピューとシューの二重奏（二重奏）</v>
      </c>
      <c r="AV92" s="1" t="str"/>
      <c r="AW92" s="1" t="str"/>
      <c r="AX92" s="1" t="str"/>
      <c r="AY92" s="4" t="str">
        <v>ばたんきゅー（噗叽啪——）</v>
      </c>
      <c r="AZ92" s="4"/>
      <c r="BA92" s="4"/>
      <c r="BB92" s="4"/>
      <c r="BC92" s="4"/>
      <c r="BD92" s="4"/>
      <c r="BE92" s="4"/>
      <c r="BF92" s="3"/>
      <c r="BG92" s="1" t="str"/>
      <c r="BH92" s="1" t="str"/>
    </row>
    <row customHeight="true" ht="63" r="93">
      <c r="A93" s="13"/>
      <c r="C93" t="str">
        <v>破数</v>
      </c>
      <c r="D93" t="str"/>
      <c r="E93" t="str">
        <v>sp训练</v>
      </c>
      <c r="F93" s="8" t="str">
        <v>第一属性</v>
      </c>
      <c r="G93" s="5" t="str">
        <v>第二属性</v>
      </c>
      <c r="H93" s="6" t="str">
        <v>第三属性</v>
      </c>
      <c r="I93" t="str"/>
      <c r="J93" t="str"/>
      <c r="K93" s="13"/>
      <c r="M93" t="str">
        <v>破数</v>
      </c>
      <c r="N93" t="str"/>
      <c r="O93" t="str">
        <v>m强化</v>
      </c>
      <c r="P93" s="8" t="str">
        <v>第一属性</v>
      </c>
      <c r="Q93" s="5" t="str">
        <v>第二属性</v>
      </c>
      <c r="R93" s="6" t="str">
        <v>第三属性</v>
      </c>
      <c r="S93" t="str"/>
      <c r="T93" t="str"/>
      <c r="U93" s="13"/>
      <c r="W93" t="str">
        <v>破数</v>
      </c>
      <c r="X93" t="str">
        <v>删卡</v>
      </c>
      <c r="Y93" t="str">
        <v>sp训练</v>
      </c>
      <c r="Z93" s="8" t="str">
        <v>第一属性</v>
      </c>
      <c r="AA93" s="9" t="str">
        <v>第二属性</v>
      </c>
      <c r="AB93" s="6" t="str">
        <v>第三属性</v>
      </c>
      <c r="AC93" s="1" t="str"/>
      <c r="AD93" s="1" t="str"/>
      <c r="AE93" s="1" t="str"/>
      <c r="AF93" s="1" t="str"/>
      <c r="AG93" s="1" t="str"/>
      <c r="AH93" s="1" t="str"/>
      <c r="AI93" t="str"/>
      <c r="AJ93" t="str"/>
      <c r="AK93" t="str"/>
      <c r="AL93" t="str"/>
      <c r="AM93" t="str"/>
      <c r="AN93" s="1" t="str"/>
      <c r="AO93" s="1"/>
      <c r="AQ93" t="str">
        <v>破数</v>
      </c>
      <c r="AR93" t="str">
        <v>m强化</v>
      </c>
      <c r="AS93" t="str">
        <v>营业</v>
      </c>
      <c r="AT93" s="8" t="str">
        <v>第一属性</v>
      </c>
      <c r="AU93" s="9" t="str">
        <v>第二属性</v>
      </c>
      <c r="AV93" s="6" t="str">
        <v>第三属性</v>
      </c>
      <c r="AW93" s="1" t="str"/>
      <c r="AX93" s="1" t="str"/>
      <c r="AY93" s="16"/>
      <c r="AZ93" s="16"/>
      <c r="BA93" s="4" t="str">
        <v>破数</v>
      </c>
      <c r="BB93" s="4"/>
      <c r="BC93" s="4" t="str">
        <v>sp训练</v>
      </c>
      <c r="BD93" s="20" t="str">
        <v>第一属性</v>
      </c>
      <c r="BE93" s="22" t="str">
        <v>第二属性</v>
      </c>
      <c r="BF93" s="20" t="str">
        <v>第三属性</v>
      </c>
      <c r="BG93" s="1" t="str"/>
      <c r="BH93" s="1" t="str"/>
    </row>
    <row customHeight="true" ht="16" r="94">
      <c r="C94" s="7">
        <v>4</v>
      </c>
      <c r="D94" t="str"/>
      <c r="E94">
        <f>IF(C94=-1,0,IF(C94&lt;=3,'词条'!F7,'词条'!G7))</f>
      </c>
      <c r="F94" s="8">
        <f>IF(C94=-1,0,IF('路线'!C6="计算",INT((C96/100)*'路线'!B11+D96*'路线'!B24+E94*'路线'!B15+E96+20),INT((C96/100)*'路线'!B11+D96*'路线'!B24+E94*'路线'!B15+E96)))</f>
      </c>
      <c r="G94" s="5">
        <f>IF(C94=-1,0,IF('路线'!C6="计算",INT((C96/100)*'路线'!B12+D96*'路线'!B24+E94*'路线'!B18+E96+20),INT((C96/100)*'路线'!B12+D96*'路线'!B24+E94*'路线'!B18+E96)))</f>
      </c>
      <c r="H94" s="6">
        <f>IF(C94=-1,0,IF('路线'!C6="计算",INT((C96/100)*'路线'!B13+D96*'路线'!B24+E94*'路线'!B21+E96+20),INT((C96/100)*'路线'!B13+D96*'路线'!B24+E94*'路线'!B21+E96)))</f>
      </c>
      <c r="I94" t="str"/>
      <c r="J94" t="str"/>
      <c r="M94" s="7">
        <v>4</v>
      </c>
      <c r="N94" t="str"/>
      <c r="O94">
        <f>IF(M94=-1,0,IF(M94&lt;=3,'词条'!C10,'词条'!D11))</f>
      </c>
      <c r="P94" s="8">
        <f>IF(M94=-1,0,INT(M96+N96*'路线'!B15+O94*'路线'!B29+O96))</f>
      </c>
      <c r="Q94" s="5">
        <f>IF(M94=-1,0,INT(M96+N96*'路线'!B18+O94*'路线'!B29+O96))</f>
      </c>
      <c r="R94" s="6">
        <f>IF(M94=-1,0,INT(M96+N96*'路线'!B21+O94*'路线'!B29+O96))</f>
      </c>
      <c r="S94" t="str"/>
      <c r="T94" t="str"/>
      <c r="W94" s="7">
        <v>4</v>
      </c>
      <c r="X94">
        <f>IF(W94=-1,0,IF(W94&lt;=1,'词条'!C22,'词条'!D22))</f>
      </c>
      <c r="Y94">
        <f>IF(W94=-1,0,IF(W94&lt;=3,'词条'!C7,'词条'!D7))</f>
      </c>
      <c r="Z94" s="8">
        <f>IF(W94=-1,0,IF('路线'!C6="计算",INT((W96/100)*'路线'!B11+X94*'路线'!B35+X96*'路线'!B28+Y94*'路线'!B15+Y96+20),INT((W96/100)*'路线'!B11+X94*'路线'!B35+X96*'路线'!B28+Y94*'路线'!B15+Y96)))</f>
      </c>
      <c r="AA94" s="9">
        <f>IF(W94=-1,0,IF('路线'!C6="计算",INT((W96/100)*'路线'!B12+X94*'路线'!B35+X96*'路线'!B28+Y94*'路线'!B18+Y96+20),INT((W96/100)*'路线'!B12+X94*'路线'!B35+X96*'路线'!B28+Y94*'路线'!B18+Y96)))</f>
      </c>
      <c r="AB94" s="6">
        <f>IF(W94=-1,0,IF('路线'!C6="计算",INT((W96/100)*'路线'!B13+X94*'路线'!B35+X96*'路线'!B28+Y94*'路线'!B21+Y96+20),INT((W96/100)*'路线'!B13+X94*'路线'!B35+X96*'路线'!B28+Y94*'路线'!B21+Y96)))</f>
      </c>
      <c r="AC94" s="1" t="str"/>
      <c r="AD94" s="1" t="str"/>
      <c r="AE94" s="1" t="str"/>
      <c r="AF94" s="1" t="str"/>
      <c r="AG94" s="1" t="str"/>
      <c r="AH94" s="1" t="str"/>
      <c r="AI94" t="str"/>
      <c r="AJ94" t="str"/>
      <c r="AK94" t="str"/>
      <c r="AL94" t="str"/>
      <c r="AM94" t="str"/>
      <c r="AN94" s="1" t="str"/>
      <c r="AQ94" s="7">
        <v>4</v>
      </c>
      <c r="AR94">
        <f>IF(AQ94=-1,0,IF(AQ94=0,'词条'!I10,'词条'!J10))</f>
      </c>
      <c r="AS94">
        <f>IF(AQ94=-1,0,IF(AQ94&lt;=3,'词条'!I16,'词条'!J16))</f>
      </c>
      <c r="AT94" s="5">
        <f>IF(AQ94=-1,0,IF('路线'!C6="计算",INT(AQ96+AR94*'路线'!B29+AR96*'路线'!B27+AS94*'路线'!B30+AS96+20),INT(AQ96+AR94*'路线'!B29+AR96*'路线'!B27+AS94*'路线'!B30+AS96)))</f>
      </c>
      <c r="AU94" s="5">
        <f>IF(AQ94=-1,0,IF('路线'!C6="计算",INT(AQ96+AR94*'路线'!B29+AR96*'路线'!B27+AS94*'路线'!B30+AS96+20),INT(AQ96+AR94*'路线'!B29+AR96*'路线'!B27+AS94*'路线'!B30+AS96)))</f>
      </c>
      <c r="AV94" s="9">
        <f>IF(AQ94=-1,0,IF('路线'!C6="计算",INT(AQ96+AR94*'路线'!B29+AR96*'路线'!B27+AS94*'路线'!B30+AS96+20),INT(AQ96+AR94*'路线'!B29+AR96*'路线'!B27+AS94*'路线'!B30+AS96)))</f>
      </c>
      <c r="AW94" s="1" t="str"/>
      <c r="AX94" s="1" t="str"/>
      <c r="AY94" s="16"/>
      <c r="AZ94" s="16"/>
      <c r="BA94" s="19">
        <v>4</v>
      </c>
      <c r="BB94" s="4"/>
      <c r="BC94" s="4">
        <f>IF(BA94=-1,0,IF(BA94&lt;=3,'词条'!I7,'词条'!J7))</f>
      </c>
      <c r="BD94" s="20">
        <f>IF(BA94=-1,0,INT(BA96+IF('路线'!B36&gt;3,3,'路线'!B36)*BB96+BC94*'路线'!B15+BC96))</f>
      </c>
      <c r="BE94" s="20">
        <f>IF(BA94=-1,0,INT(BA96+IF('路线'!B36&gt;3,3,'路线'!B36)*BB96+BC94*'路线'!B18+BC96))</f>
      </c>
      <c r="BF94" s="22">
        <f>IF(BA94=-1,0,INT(BA96+IF('路线'!B36&gt;3,3,'路线'!B36)*BB96+BC94*'路线'!B21+BC96))</f>
      </c>
      <c r="BG94" s="1" t="str"/>
      <c r="BH94" s="1" t="str"/>
    </row>
    <row customHeight="true" ht="16" r="95">
      <c r="C95" t="str">
        <v>百分比</v>
      </c>
      <c r="D95" t="str">
        <v>抓m卡</v>
      </c>
      <c r="E95" t="str">
        <v>事件</v>
      </c>
      <c r="F95" s="13" t="str"/>
      <c r="I95" t="str"/>
      <c r="J95" t="str"/>
      <c r="M95" t="str">
        <v>基础值</v>
      </c>
      <c r="N95" t="str">
        <v>sp训练</v>
      </c>
      <c r="O95" t="str">
        <v>事件</v>
      </c>
      <c r="P95" s="14" t="str">
        <v>SP</v>
      </c>
      <c r="S95" t="str"/>
      <c r="T95" t="str"/>
      <c r="W95" t="str">
        <v>百分比</v>
      </c>
      <c r="X95" t="str">
        <v>a强化</v>
      </c>
      <c r="Y95" t="str">
        <v>事件</v>
      </c>
      <c r="Z95" s="13" t="str"/>
      <c r="AC95" s="1" t="str"/>
      <c r="AD95" s="1" t="str"/>
      <c r="AE95" s="1" t="str"/>
      <c r="AF95" s="1" t="str"/>
      <c r="AG95" s="1" t="str"/>
      <c r="AH95" s="1" t="str"/>
      <c r="AI95" t="str"/>
      <c r="AJ95" t="str"/>
      <c r="AK95" t="str"/>
      <c r="AL95" t="str"/>
      <c r="AM95" t="str"/>
      <c r="AN95" s="1" t="str"/>
      <c r="AQ95" t="str">
        <v>基础值</v>
      </c>
      <c r="AR95" s="30" t="str">
        <v>抓好印象卡</v>
      </c>
      <c r="AS95" t="str">
        <v>事件</v>
      </c>
      <c r="AT95" s="13" t="str"/>
      <c r="AW95" s="1" t="str"/>
      <c r="AX95" s="1" t="str"/>
      <c r="AY95" s="16"/>
      <c r="AZ95" s="16"/>
      <c r="BA95" s="4" t="str">
        <v>基础值</v>
      </c>
      <c r="BB95" s="4" t="str">
        <v>删m卡</v>
      </c>
      <c r="BC95" s="4" t="str">
        <v>事件</v>
      </c>
      <c r="BD95" s="32" t="str">
        <v>SP</v>
      </c>
      <c r="BE95" s="32"/>
      <c r="BF95" s="32"/>
      <c r="BG95" s="1" t="str"/>
      <c r="BH95" s="1" t="str"/>
    </row>
    <row customHeight="true" ht="16" r="96">
      <c r="C96">
        <f>IF(C94=-1,0,INDEX('词条'!C4:G4,C94+1))</f>
      </c>
      <c r="D96">
        <f>IF(C94=-1,0,IF(C94&lt;=2,'词条'!F13,'词条'!G13))</f>
      </c>
      <c r="E96">
        <f>IF(C94=-1,0,CHOOSE(C94+1,'词条'!C2,'词条'!D2,'词条'!D2,'词条'!D2,'词条'!E2))</f>
      </c>
      <c r="F96" s="11" t="str">
        <v>通用</v>
      </c>
      <c r="I96" t="str"/>
      <c r="J96" t="str"/>
      <c r="M96">
        <f>IF(M94=-1,0,INDEX('词条'!C3:G3,M94+1))</f>
      </c>
      <c r="N96">
        <f>IF(M94=-1,0,IF(M94&lt;=2,'词条'!C7,'词条'!D7))</f>
      </c>
      <c r="O96">
        <f>IF(M94=-1,0,CHOOSE(M94+1,'词条'!C2,'词条'!D2,'词条'!D2,'词条'!D2,'词条'!E2))</f>
      </c>
      <c r="P96" s="12" t="str">
        <v>理性</v>
      </c>
      <c r="S96" t="str"/>
      <c r="T96" t="str"/>
      <c r="W96">
        <f>IF(W94=-1,0,INDEX('词条'!C4:G4,W94+1))</f>
      </c>
      <c r="X96">
        <f>IF(W94=-1,0,IF(W94&lt;=2,'词条'!C11,'词条'!D11))</f>
      </c>
      <c r="Y96">
        <f>IF(W94=-1,0,CHOOSE(W94+1,'词条'!C2,'词条'!D2,'词条'!D2,'词条'!D2,'词条'!E2))</f>
      </c>
      <c r="Z96" s="15" t="str">
        <v>非凡</v>
      </c>
      <c r="AC96" s="1" t="str"/>
      <c r="AD96" s="1" t="str"/>
      <c r="AE96" s="1" t="str"/>
      <c r="AF96" s="1" t="str"/>
      <c r="AG96" s="1" t="str"/>
      <c r="AH96" s="1" t="str"/>
      <c r="AI96" t="str"/>
      <c r="AJ96" t="str"/>
      <c r="AK96" t="str"/>
      <c r="AL96" t="str"/>
      <c r="AM96" t="str"/>
      <c r="AN96" s="1" t="str"/>
      <c r="AQ96">
        <f>IF(AQ94=-1,0,INDEX('词条'!I3:M3,AQ94+1))</f>
      </c>
      <c r="AR96">
        <f>IF(AQ94=-1,0,IF(AQ94&lt;=2,'词条'!I24,'词条'!J24))</f>
      </c>
      <c r="AS96">
        <f>IF(AQ94=-1,0,CHOOSE(AQ94+1,'词条'!I2,'词条'!I2,'词条'!J2,'词条'!J2,'词条'!K2))</f>
      </c>
      <c r="AT96" s="12" t="str">
        <v>理性</v>
      </c>
      <c r="AW96" s="1" t="str"/>
      <c r="AX96" s="1" t="str"/>
      <c r="AY96" s="16"/>
      <c r="AZ96" s="16"/>
      <c r="BA96" s="4">
        <f>IF(BA94=-1,0,INDEX('词条'!I3:M3,BA94+1))</f>
      </c>
      <c r="BB96" s="4">
        <f>IF(BA94=-1,0,IF(BA94&lt;=2,'词条'!L22,'词条'!M22))</f>
      </c>
      <c r="BC96" s="4">
        <f>IF(BA94=-1,0,CHOOSE(BA94+1,'词条'!I2,'词条'!I2,'词条'!J2,'词条'!J2,'词条'!K2))</f>
      </c>
      <c r="BD96" s="23" t="str">
        <v>理性</v>
      </c>
      <c r="BE96" s="23"/>
      <c r="BF96" s="23"/>
      <c r="BG96" s="1" t="str"/>
      <c r="BH96" s="1" t="str"/>
    </row>
    <row customHeight="true" ht="16" r="97">
      <c r="A97" s="1" t="str"/>
      <c r="B97" s="1" t="str"/>
      <c r="C97" s="1" t="str"/>
      <c r="D97" s="1" t="str"/>
      <c r="E97" s="1" t="str"/>
      <c r="F97" s="1" t="str"/>
      <c r="G97" s="1" t="str"/>
      <c r="H97" s="1" t="str"/>
      <c r="I97" s="1" t="str"/>
      <c r="J97" s="1" t="str"/>
      <c r="K97" s="1" t="str"/>
      <c r="L97" s="1" t="str"/>
      <c r="M97" s="1" t="str"/>
      <c r="N97" s="1" t="str"/>
      <c r="O97" s="1" t="str"/>
      <c r="P97" s="1" t="str"/>
      <c r="Q97" s="1" t="str"/>
      <c r="R97" s="1" t="str"/>
      <c r="S97" s="1" t="str"/>
      <c r="T97" s="1" t="str"/>
      <c r="U97" s="1" t="str"/>
      <c r="V97" s="1" t="str"/>
      <c r="W97" s="1" t="str"/>
      <c r="X97" s="1" t="str"/>
      <c r="Y97" s="1" t="str"/>
      <c r="Z97" s="1" t="str"/>
      <c r="AA97" s="1" t="str"/>
      <c r="AB97" s="1" t="str"/>
      <c r="AC97" s="1" t="str"/>
      <c r="AD97" s="1" t="str"/>
      <c r="AE97" s="1" t="str"/>
      <c r="AF97" s="1" t="str"/>
      <c r="AG97" s="1" t="str"/>
      <c r="AH97" s="1" t="str"/>
      <c r="AI97" s="1" t="str"/>
      <c r="AJ97" s="1" t="str"/>
      <c r="AK97" s="1" t="str"/>
      <c r="AL97" s="1" t="str"/>
      <c r="AM97" s="1" t="str"/>
      <c r="AN97" s="1" t="str"/>
      <c r="AO97" s="1" t="str"/>
      <c r="AP97" s="1" t="str"/>
      <c r="AQ97" s="1" t="str"/>
      <c r="AR97" s="1" t="str"/>
      <c r="AS97" s="1" t="str"/>
      <c r="AT97" s="1" t="str"/>
      <c r="AU97" s="1" t="str"/>
      <c r="AV97" s="1" t="str"/>
      <c r="AW97" s="1" t="str"/>
      <c r="AX97" s="1" t="str"/>
      <c r="AY97" s="1" t="str"/>
      <c r="AZ97" s="1" t="str"/>
      <c r="BA97" s="1" t="str"/>
      <c r="BB97" s="1" t="str"/>
      <c r="BC97" s="1" t="str"/>
      <c r="BD97" s="1" t="str"/>
      <c r="BE97" s="1" t="str"/>
      <c r="BF97" s="1" t="str"/>
      <c r="BG97" s="1" t="str"/>
      <c r="BH97" s="1" t="str"/>
    </row>
    <row customHeight="true" ht="16" r="98">
      <c r="A98" s="3" t="str">
        <v>相変わらず不器用ね（幼驯染）</v>
      </c>
      <c r="H98" s="1" t="str"/>
      <c r="I98" t="str"/>
      <c r="J98" t="str"/>
      <c r="K98" t="str">
        <v>ひとりで立てますか？（溜冰）</v>
      </c>
      <c r="R98" t="str"/>
      <c r="S98" t="str"/>
      <c r="T98" t="str"/>
      <c r="U98" t="str">
        <v>新生活のはじまりだね（米袋）</v>
      </c>
      <c r="AB98" s="1" t="str"/>
      <c r="AC98" s="2" t="str">
        <v>道具属性</v>
      </c>
      <c r="AD98" s="1" t="str"/>
      <c r="AE98" s="1" t="str"/>
      <c r="AF98" s="1" t="str"/>
      <c r="AG98" s="1" t="str"/>
      <c r="AH98" s="1" t="str"/>
      <c r="AI98" s="1" t="str"/>
      <c r="AJ98" s="1" t="str"/>
      <c r="AK98" s="1" t="str"/>
      <c r="AL98" s="1" t="str"/>
      <c r="AM98" s="1" t="str"/>
      <c r="AN98" s="1" t="str"/>
      <c r="AO98" s="1" t="str">
        <v>ガールズ♡トーク（女子会）</v>
      </c>
      <c r="AV98" s="1" t="str"/>
      <c r="AW98" s="1" t="str"/>
      <c r="AX98" s="1" t="str"/>
      <c r="AY98" s="1" t="str"/>
      <c r="AZ98" s="1" t="str"/>
      <c r="BA98" s="1" t="str"/>
      <c r="BB98" s="1" t="str"/>
      <c r="BC98" s="1" t="str"/>
      <c r="BD98" s="1" t="str"/>
      <c r="BE98" s="1" t="str"/>
      <c r="BF98" s="1" t="str"/>
      <c r="BG98" s="1" t="str"/>
      <c r="BH98" s="1" t="str"/>
    </row>
    <row customHeight="true" ht="63" r="99">
      <c r="A99" s="13"/>
      <c r="C99" t="str">
        <v>破数</v>
      </c>
      <c r="D99" s="30" t="str">
        <v>抓好印象卡</v>
      </c>
      <c r="E99" t="str">
        <v>外出</v>
      </c>
      <c r="F99" s="8" t="str">
        <v>第一属性</v>
      </c>
      <c r="G99" s="5" t="str">
        <v>第二属性</v>
      </c>
      <c r="H99" s="6" t="str">
        <v>第三属性</v>
      </c>
      <c r="I99" t="str"/>
      <c r="J99" t="str"/>
      <c r="K99" s="13"/>
      <c r="M99" t="str">
        <v>破数</v>
      </c>
      <c r="N99" t="str"/>
      <c r="O99" t="str">
        <v>抓m卡</v>
      </c>
      <c r="P99" s="8" t="str">
        <v>第一属性</v>
      </c>
      <c r="Q99" s="5" t="str">
        <v>第二属性</v>
      </c>
      <c r="R99" s="6" t="str">
        <v>第三属性</v>
      </c>
      <c r="S99" t="str"/>
      <c r="T99" t="str"/>
      <c r="U99" s="13"/>
      <c r="W99" t="str">
        <v>破数</v>
      </c>
      <c r="X99" t="str"/>
      <c r="Y99" t="str">
        <v>抓温存卡</v>
      </c>
      <c r="Z99" s="8" t="str">
        <v>第一属性</v>
      </c>
      <c r="AA99" s="9" t="str">
        <v>第二属性</v>
      </c>
      <c r="AB99" s="6" t="str">
        <v>第三属性</v>
      </c>
      <c r="AC99" s="2">
        <f>IF(W100=-1,0,'路线'!B31-1)</f>
      </c>
      <c r="AD99" s="1" t="str"/>
      <c r="AE99" s="1" t="str"/>
      <c r="AF99" s="1" t="str"/>
      <c r="AG99" s="1" t="str"/>
      <c r="AH99" s="1" t="str"/>
      <c r="AI99" t="str"/>
      <c r="AJ99" t="str"/>
      <c r="AK99" t="str"/>
      <c r="AL99" t="str"/>
      <c r="AM99" t="str"/>
      <c r="AN99" s="1" t="str"/>
      <c r="AO99" s="1"/>
      <c r="AQ99" t="str">
        <v>破数</v>
      </c>
      <c r="AR99" t="str">
        <v>外出</v>
      </c>
      <c r="AS99" t="str">
        <v>sp训练</v>
      </c>
      <c r="AT99" s="8" t="str">
        <v>第一属性</v>
      </c>
      <c r="AU99" s="9" t="str">
        <v>第二属性</v>
      </c>
      <c r="AV99" s="6" t="str">
        <v>第三属性</v>
      </c>
      <c r="AW99" s="1" t="str"/>
      <c r="AX99" s="1" t="str"/>
      <c r="AY99" s="1" t="str"/>
      <c r="AZ99" s="1" t="str"/>
      <c r="BA99" s="1" t="str"/>
      <c r="BB99" s="1" t="str"/>
      <c r="BC99" s="1" t="str"/>
      <c r="BD99" s="1" t="str"/>
      <c r="BE99" s="1" t="str"/>
      <c r="BF99" s="1" t="str"/>
      <c r="BG99" s="1" t="str"/>
      <c r="BH99" s="1" t="str"/>
    </row>
    <row customHeight="true" ht="16" r="100">
      <c r="C100" s="7">
        <v>4</v>
      </c>
      <c r="D100">
        <f>IF(C100=-1,0,IF(C100&lt;=1,'词条'!C24,'词条'!D24))</f>
      </c>
      <c r="E100">
        <f>IF(C100=-1,0,IF(C100&lt;=3,'词条'!C17,'词条'!D17))</f>
      </c>
      <c r="F100" s="8">
        <f>IF(C100=-1,0,INT(C102+D100*'路线'!B27+D102*'路线'!B15+E100*'路线'!B31+E102))</f>
      </c>
      <c r="G100" s="5">
        <f>IF(C100=-1,0,INT(C102+D100*'路线'!B27+D102*'路线'!B18+E100*'路线'!B31+E102))</f>
      </c>
      <c r="H100" s="6">
        <f>IF(C100=-1,0,INT(C102+D100*'路线'!B27+D102*'路线'!B21+E100*'路线'!B31+E102))</f>
      </c>
      <c r="I100" t="str"/>
      <c r="J100" t="str"/>
      <c r="M100" s="7">
        <v>4</v>
      </c>
      <c r="N100" t="str"/>
      <c r="O100">
        <f>IF(M100=-1,0,IF(M100&lt;=3,'词条'!C13,'词条'!D13))</f>
      </c>
      <c r="P100" s="8">
        <f>IF(M100=-1,0,INT(M102+N102*'路线'!B15+O100*'路线'!B24+O102))</f>
      </c>
      <c r="Q100" s="5">
        <f>IF(M100=-1,0,INT(M102+N102*'路线'!B18+O100*'路线'!B24+O102))</f>
      </c>
      <c r="R100" s="6">
        <f>IF(M100=-1,0,INT(M102+N102*'路线'!B21+O100*'路线'!B24+O102))</f>
      </c>
      <c r="S100" t="str"/>
      <c r="T100" t="str"/>
      <c r="W100" s="7">
        <v>4</v>
      </c>
      <c r="X100" t="str"/>
      <c r="Y100">
        <f>IF(W100=-1,0,IF(W100&lt;=3,'词条'!C23,'词条'!D23))</f>
      </c>
      <c r="Z100" s="8">
        <f>IF(W100=-1,0,INT(W102+X102*'路线'!B14+Y100*'路线'!B26+Y102))</f>
      </c>
      <c r="AA100" s="9">
        <f>IF(W100=-1,0,INT(W102+X102*'路线'!B17+Y100*'路线'!B26+Y102))</f>
      </c>
      <c r="AB100" s="6">
        <f>IF(W100=-1,0,INT(W102+X102*'路线'!B20+Y100*'路线'!B26+Y102))</f>
      </c>
      <c r="AC100" s="2">
        <f>Z100+AC99</f>
      </c>
      <c r="AD100" s="1" t="str"/>
      <c r="AE100" s="1" t="str"/>
      <c r="AF100" s="1" t="str"/>
      <c r="AG100" s="1" t="str"/>
      <c r="AH100" s="1" t="str"/>
      <c r="AI100" t="str"/>
      <c r="AJ100" t="str"/>
      <c r="AK100" t="str"/>
      <c r="AL100" t="str"/>
      <c r="AM100" t="str"/>
      <c r="AN100" s="1" t="str"/>
      <c r="AQ100" s="7">
        <v>4</v>
      </c>
      <c r="AR100">
        <f>IF(AQ100=-1,0,IF(AQ100=0,'词条'!I17,'词条'!J17))</f>
      </c>
      <c r="AS100">
        <f>IF(AQ100=-1,0,IF(AQ100&lt;=3,'词条'!I7,'词条'!J7))</f>
      </c>
      <c r="AT100" s="5">
        <f>IF(AQ100=-1,0,INT(AQ102+AR100*'路线'!B31+AR102*'路线'!B29+AS100*'路线'!B15+AS102))</f>
      </c>
      <c r="AU100" s="5">
        <f>IF(AQ100=-1,0,INT(AQ102+AR100*'路线'!B31+AR102*'路线'!B29+AS100*'路线'!B18+AS102))</f>
      </c>
      <c r="AV100" s="9">
        <f>IF(AQ100=-1,0,INT(AQ102+AR100*'路线'!B31+AR102*'路线'!B29+AS100*'路线'!B21+AS102))</f>
      </c>
      <c r="AW100" s="1" t="str"/>
      <c r="AX100" s="1" t="str"/>
      <c r="AY100" s="1" t="str"/>
      <c r="AZ100" s="1" t="str"/>
      <c r="BA100" s="1" t="str"/>
      <c r="BB100" s="1" t="str"/>
      <c r="BC100" s="1" t="str"/>
      <c r="BD100" s="1" t="str"/>
      <c r="BE100" s="1" t="str"/>
      <c r="BF100" s="1" t="str"/>
      <c r="BG100" s="1" t="str"/>
      <c r="BH100" s="1" t="str"/>
    </row>
    <row customHeight="true" ht="16" r="101">
      <c r="C101" t="str">
        <v>基础值</v>
      </c>
      <c r="D101" t="str">
        <v>sp训练</v>
      </c>
      <c r="E101" t="str">
        <v>事件</v>
      </c>
      <c r="F101" s="13" t="str"/>
      <c r="I101" t="str"/>
      <c r="J101" t="str"/>
      <c r="M101" t="str">
        <v>基础值</v>
      </c>
      <c r="N101" t="str">
        <v>sp训练</v>
      </c>
      <c r="O101" t="str">
        <v>事件</v>
      </c>
      <c r="P101" s="14" t="str">
        <v>SP</v>
      </c>
      <c r="S101" t="str"/>
      <c r="T101" t="str"/>
      <c r="W101" t="str">
        <v>基础值</v>
      </c>
      <c r="X101" t="str">
        <v>训练</v>
      </c>
      <c r="Y101" t="str">
        <v>事件</v>
      </c>
      <c r="Z101" s="14" t="str">
        <v>SP</v>
      </c>
      <c r="AC101" s="2">
        <f>AA100+AC99</f>
      </c>
      <c r="AD101" s="1" t="str"/>
      <c r="AE101" s="1" t="str"/>
      <c r="AF101" s="1" t="str"/>
      <c r="AG101" s="1" t="str"/>
      <c r="AH101" s="1" t="str"/>
      <c r="AI101" t="str"/>
      <c r="AJ101" t="str"/>
      <c r="AK101" t="str"/>
      <c r="AL101" t="str"/>
      <c r="AM101" t="str"/>
      <c r="AN101" s="1" t="str"/>
      <c r="AQ101" t="str">
        <v>基础值</v>
      </c>
      <c r="AR101" t="str">
        <v>m强化</v>
      </c>
      <c r="AS101" t="str">
        <v>事件</v>
      </c>
      <c r="AT101" s="13" t="str"/>
      <c r="AW101" s="1" t="str"/>
      <c r="AX101" s="1" t="str"/>
      <c r="AY101" s="1" t="str"/>
      <c r="AZ101" s="1" t="str"/>
      <c r="BA101" s="1" t="str"/>
      <c r="BB101" s="1" t="str"/>
      <c r="BC101" s="1" t="str"/>
      <c r="BD101" s="1" t="str"/>
      <c r="BE101" s="1" t="str"/>
      <c r="BF101" s="1" t="str"/>
      <c r="BG101" s="1" t="str"/>
      <c r="BH101" s="1" t="str"/>
    </row>
    <row customHeight="true" ht="16" r="102">
      <c r="C102">
        <f>IF(C100=-1,0,INDEX('词条'!C3:G3,C100+1))</f>
      </c>
      <c r="D102">
        <f>IF(C100=-1,0,IF(C100&lt;=2,'词条'!C7,'词条'!D7))</f>
      </c>
      <c r="E102">
        <f>IF(C100=-1,0,CHOOSE(C100+1,'词条'!C2,'词条'!D2,'词条'!D2,'词条'!D2,'词条'!E2))</f>
      </c>
      <c r="F102" s="12" t="str">
        <v>理性</v>
      </c>
      <c r="I102" t="str"/>
      <c r="J102" t="str"/>
      <c r="M102">
        <f>IF(M100=-1,0,INDEX('词条'!C3:G3,M100+1))</f>
      </c>
      <c r="N102">
        <f>IF(M100=-1,0,IF(M100&lt;=2,'词条'!C7,'词条'!D7))</f>
      </c>
      <c r="O102">
        <f>IF(M100=-1,0,CHOOSE(M100+1,'词条'!C2,'词条'!D2,'词条'!D2,'词条'!D2,'词条'!E2))</f>
      </c>
      <c r="P102" s="11" t="str">
        <v>通用</v>
      </c>
      <c r="S102" t="str"/>
      <c r="T102" t="str"/>
      <c r="W102">
        <f>IF(W100=-1,0,INDEX('词条'!C3:G3,W100+1))</f>
      </c>
      <c r="X102">
        <f>IF(W100=-1,0,IF(W100&lt;=2,'词条'!C6,'词条'!D6))</f>
      </c>
      <c r="Y102">
        <f>IF(W100=-1,0,CHOOSE(W100+1,'词条'!C2,'词条'!D2,'词条'!D2,'词条'!D2,'词条'!E2))</f>
      </c>
      <c r="Z102" s="15" t="str">
        <v>非凡</v>
      </c>
      <c r="AC102" s="2">
        <f>AB100+AC99</f>
      </c>
      <c r="AD102" s="1" t="str"/>
      <c r="AE102" s="1" t="str"/>
      <c r="AF102" s="1" t="str"/>
      <c r="AG102" s="1" t="str"/>
      <c r="AH102" s="1" t="str"/>
      <c r="AI102" t="str"/>
      <c r="AJ102" t="str"/>
      <c r="AK102" t="str"/>
      <c r="AL102" t="str"/>
      <c r="AM102" t="str"/>
      <c r="AN102" s="1" t="str"/>
      <c r="AQ102">
        <f>IF(AQ100=-1,0,INDEX('词条'!I3:M3,AQ100+1))</f>
      </c>
      <c r="AR102">
        <f>IF(AQ100=-1,0,IF(AQ100&lt;=2,'词条'!I10,'词条'!J10))</f>
      </c>
      <c r="AS102">
        <f>IF(AQ100=-1,0,CHOOSE(AQ100+1,'词条'!I2,'词条'!I2,'词条'!J2,'词条'!J2,'词条'!K2))</f>
      </c>
      <c r="AT102" s="10" t="str">
        <v>感性</v>
      </c>
      <c r="AW102" s="1" t="str"/>
      <c r="AX102" s="1" t="str"/>
      <c r="AY102" s="1" t="str"/>
      <c r="AZ102" s="1" t="str"/>
      <c r="BA102" s="1" t="str"/>
      <c r="BB102" s="1" t="str"/>
      <c r="BC102" s="1" t="str"/>
      <c r="BD102" s="1" t="str"/>
      <c r="BE102" s="1" t="str"/>
      <c r="BF102" s="1" t="str"/>
      <c r="BG102" s="1" t="str"/>
      <c r="BH102" s="1" t="str"/>
    </row>
    <row customHeight="true" ht="16" r="103">
      <c r="A103" s="1" t="str"/>
      <c r="B103" s="1" t="str"/>
      <c r="C103" s="1" t="str"/>
      <c r="D103" s="1" t="str"/>
      <c r="E103" s="1" t="str"/>
      <c r="F103" s="1" t="str"/>
      <c r="G103" s="1" t="str"/>
      <c r="H103" s="1" t="str"/>
      <c r="I103" s="1" t="str"/>
      <c r="J103" s="1" t="str"/>
      <c r="K103" s="1" t="str"/>
      <c r="L103" s="1" t="str"/>
      <c r="M103" s="1" t="str"/>
      <c r="N103" s="1" t="str"/>
      <c r="O103" s="1" t="str"/>
      <c r="P103" s="1" t="str"/>
      <c r="Q103" s="1" t="str"/>
      <c r="R103" s="1" t="str"/>
      <c r="S103" s="1" t="str"/>
      <c r="T103" s="1" t="str"/>
      <c r="U103" s="1" t="str"/>
      <c r="V103" s="1" t="str"/>
      <c r="W103" s="1" t="str"/>
      <c r="X103" s="1" t="str"/>
      <c r="Y103" s="1" t="str"/>
      <c r="Z103" s="1" t="str"/>
      <c r="AA103" s="1" t="str"/>
      <c r="AB103" s="1" t="str"/>
      <c r="AC103" s="1" t="str"/>
      <c r="AD103" s="1" t="str"/>
      <c r="AE103" s="1" t="str"/>
      <c r="AF103" s="1" t="str"/>
      <c r="AG103" s="1" t="str"/>
      <c r="AH103" s="1" t="str"/>
      <c r="AI103" s="1" t="str"/>
      <c r="AJ103" s="1" t="str"/>
      <c r="AK103" s="1" t="str"/>
      <c r="AL103" s="1" t="str"/>
      <c r="AM103" s="1" t="str"/>
      <c r="AN103" s="1" t="str"/>
      <c r="AO103" s="1" t="str"/>
      <c r="AP103" s="1" t="str"/>
      <c r="AQ103" s="1" t="str"/>
      <c r="AR103" s="1" t="str"/>
      <c r="AS103" s="1" t="str"/>
      <c r="AT103" s="1" t="str"/>
      <c r="AU103" s="1" t="str"/>
      <c r="AV103" s="1" t="str"/>
      <c r="AW103" s="1" t="str"/>
      <c r="AX103" s="1" t="str"/>
      <c r="AY103" s="1" t="str"/>
      <c r="AZ103" s="1" t="str"/>
      <c r="BA103" s="1" t="str"/>
      <c r="BB103" s="1" t="str"/>
      <c r="BC103" s="1" t="str"/>
      <c r="BD103" s="1" t="str"/>
      <c r="BE103" s="1" t="str"/>
      <c r="BF103" s="1" t="str"/>
      <c r="BG103" s="1" t="str"/>
      <c r="BH103" s="1" t="str"/>
    </row>
    <row customHeight="true" ht="16" r="104">
      <c r="A104" s="3" t="str">
        <v>みんなの意見を聞かせて♪（发饰）</v>
      </c>
      <c r="B104" s="3"/>
      <c r="C104" s="3"/>
      <c r="D104" s="3"/>
      <c r="E104" s="3"/>
      <c r="F104" s="3"/>
      <c r="G104" s="3"/>
      <c r="H104" s="3"/>
      <c r="I104" t="str"/>
      <c r="J104" t="str"/>
      <c r="K104" t="str">
        <v>ここから始まるんだね！（相册）</v>
      </c>
      <c r="R104" t="str"/>
      <c r="S104" t="str"/>
      <c r="T104" t="str"/>
      <c r="U104" t="str">
        <v>相手にとって不足なしよ！（对战）</v>
      </c>
      <c r="AB104" s="1" t="str"/>
      <c r="AC104" s="1" t="str"/>
      <c r="AD104" s="1" t="str"/>
      <c r="AE104" s="1" t="str"/>
      <c r="AF104" s="1" t="str"/>
      <c r="AG104" s="1" t="str"/>
      <c r="AH104" s="1" t="str"/>
      <c r="AI104" s="1" t="str"/>
      <c r="AJ104" s="1" t="str"/>
      <c r="AK104" s="1" t="str"/>
      <c r="AL104" s="1" t="str"/>
      <c r="AM104" s="1" t="str"/>
      <c r="AN104" s="1" t="str"/>
      <c r="AO104" s="1" t="str">
        <v>あん・どぅ・とろわっ！（伸缩带）</v>
      </c>
      <c r="AV104" s="1" t="str"/>
      <c r="AW104" s="2" t="str">
        <v>道具属性</v>
      </c>
      <c r="AX104" s="25" t="str">
        <v>强气抓卡</v>
      </c>
      <c r="AY104" s="1" t="str"/>
      <c r="AZ104" s="1" t="str"/>
      <c r="BA104" s="1" t="str"/>
      <c r="BB104" s="1" t="str"/>
      <c r="BC104" s="1" t="str"/>
      <c r="BD104" s="1" t="str"/>
      <c r="BE104" s="1" t="str"/>
      <c r="BF104" s="1" t="str"/>
      <c r="BG104" s="1" t="str"/>
      <c r="BH104" s="1" t="str"/>
    </row>
    <row customHeight="true" ht="63" r="105">
      <c r="A105" s="16"/>
      <c r="B105" s="16"/>
      <c r="C105" s="4" t="str">
        <v>破数</v>
      </c>
      <c r="D105" s="34"/>
      <c r="E105" s="4" t="str">
        <v>营业</v>
      </c>
      <c r="F105" s="18" t="str">
        <v>第一属性</v>
      </c>
      <c r="G105" s="20" t="str">
        <v>第二属性</v>
      </c>
      <c r="H105" s="21" t="str">
        <v>第三属性</v>
      </c>
      <c r="I105" t="str"/>
      <c r="J105" t="str"/>
      <c r="K105" s="13"/>
      <c r="M105" t="str">
        <v>破数</v>
      </c>
      <c r="N105" t="str">
        <v>删卡</v>
      </c>
      <c r="O105" t="str">
        <v>营业</v>
      </c>
      <c r="P105" s="8" t="str">
        <v>第一属性</v>
      </c>
      <c r="Q105" s="5" t="str">
        <v>第二属性</v>
      </c>
      <c r="R105" s="6" t="str">
        <v>第三属性</v>
      </c>
      <c r="S105" t="str"/>
      <c r="T105" t="str"/>
      <c r="U105" s="13"/>
      <c r="W105" t="str">
        <v>破数</v>
      </c>
      <c r="X105" t="str"/>
      <c r="Y105" t="str">
        <v>删m卡</v>
      </c>
      <c r="Z105" s="8" t="str">
        <v>第一属性</v>
      </c>
      <c r="AA105" s="9" t="str">
        <v>第二属性</v>
      </c>
      <c r="AB105" s="6" t="str">
        <v>第三属性</v>
      </c>
      <c r="AC105" s="1" t="str"/>
      <c r="AD105" s="1" t="str"/>
      <c r="AE105" s="1" t="str"/>
      <c r="AF105" s="1" t="str"/>
      <c r="AG105" s="1" t="str"/>
      <c r="AH105" s="1" t="str"/>
      <c r="AI105" s="1" t="str"/>
      <c r="AJ105" s="1" t="str"/>
      <c r="AK105" s="1" t="str"/>
      <c r="AL105" s="1" t="str"/>
      <c r="AM105" s="1" t="str"/>
      <c r="AN105" s="1" t="str"/>
      <c r="AO105" s="1"/>
      <c r="AQ105" t="str">
        <v>破数</v>
      </c>
      <c r="AR105" t="str"/>
      <c r="AS105" t="str">
        <v>sp训练</v>
      </c>
      <c r="AT105" s="8" t="str">
        <v>第一属性</v>
      </c>
      <c r="AU105" s="9" t="str">
        <v>第二属性</v>
      </c>
      <c r="AV105" s="6" t="str">
        <v>第三属性</v>
      </c>
      <c r="AW105" s="24">
        <f>AX105*6</f>
      </c>
      <c r="AX105" s="25">
        <v>10</v>
      </c>
      <c r="AY105" s="1" t="str"/>
      <c r="AZ105" s="1" t="str"/>
      <c r="BA105" s="1" t="str"/>
      <c r="BB105" s="1" t="str"/>
      <c r="BC105" s="1" t="str"/>
      <c r="BD105" s="1" t="str"/>
      <c r="BE105" s="1" t="str"/>
      <c r="BF105" s="1" t="str"/>
      <c r="BG105" s="1" t="str"/>
      <c r="BH105" s="1" t="str"/>
    </row>
    <row customHeight="true" ht="16" r="106">
      <c r="A106" s="16"/>
      <c r="B106" s="16"/>
      <c r="C106" s="19">
        <v>0</v>
      </c>
      <c r="D106" s="4"/>
      <c r="E106" s="4">
        <f>IF(C106=-1,0,IF(C106&lt;=3,'词条'!F16,'词条'!G16))</f>
      </c>
      <c r="F106" s="18">
        <f>INT(C108+D108*'路线'!B28+E106*'路线'!B30+E108)</f>
      </c>
      <c r="G106" s="20">
        <f>INT(C108+D108*'路线'!B28+E106*'路线'!B30+E108)</f>
      </c>
      <c r="H106" s="21">
        <f>INT(C108+D108*'路线'!B28+E106*'路线'!B30+E108)</f>
      </c>
      <c r="I106" t="str"/>
      <c r="J106" t="str"/>
      <c r="M106" s="7">
        <v>4</v>
      </c>
      <c r="N106">
        <f>IF(M106=-1,0,IF(M106&lt;=1,'词条'!C22,'词条'!D22))</f>
      </c>
      <c r="O106">
        <f>IF(M106=-1,0,IF(M106&lt;=3,'词条'!C16,'词条'!D16))</f>
      </c>
      <c r="P106" s="8">
        <f>IF(M106=-1,0,INT((M108/100)*'路线'!B11+N106*'路线'!B35+N108*'路线'!B15+O106*'路线'!B30+O108))</f>
      </c>
      <c r="Q106" s="5">
        <f>IF(M106=-1,0,INT((M108/100)*'路线'!B12+N106*'路线'!B35+N108*'路线'!B18+O106*'路线'!B30+O108))</f>
      </c>
      <c r="R106" s="6">
        <f>IF(M106=-1,0,INT((M108/100)*'路线'!B13+N106*'路线'!B35+N108*'路线'!B21+O106*'路线'!B30+O108))</f>
      </c>
      <c r="S106" t="str"/>
      <c r="T106" t="str"/>
      <c r="W106" s="7">
        <v>4</v>
      </c>
      <c r="X106" t="str"/>
      <c r="Y106">
        <f>IF(W106=-1,0,IF(W106&lt;=3,'词条'!F22,'词条'!G22))</f>
      </c>
      <c r="Z106" s="5">
        <f>IF(W106=-1,0,IF('路线'!C6="计算",INT(W108+X108*'路线'!B15+Y106*IF('路线'!B36&lt;=3,'路线'!B36,3)+Y108+20),INT(W108+X108*'路线'!B15+Y106*IF('路线'!B36&lt;=3,'路线'!B36,3)+Y108)))</f>
      </c>
      <c r="AA106" s="5">
        <f>IF(W106=-1,0,IF('路线'!C6="计算",INT(W108+X108*'路线'!B18+Y106*IF('路线'!B36&lt;=3,'路线'!B36,3)+Y108+20),INT(W108+X108*'路线'!B18+Y106*IF('路线'!B36&lt;=3,'路线'!B36,3)+Y108)))</f>
      </c>
      <c r="AB106" s="9">
        <f>IF(W106=-1,0,IF('路线'!C6="计算",INT(W108+X108*'路线'!B21+Y106*IF('路线'!B36&lt;=3,'路线'!B36,3)+Y108+20),INT(W108+X108*'路线'!B21+Y106*IF('路线'!B36&lt;=3,'路线'!B36,3)+Y108)))</f>
      </c>
      <c r="AC106" s="1" t="str"/>
      <c r="AD106" s="1" t="str"/>
      <c r="AE106" s="1" t="str"/>
      <c r="AF106" s="1" t="str"/>
      <c r="AG106" s="1" t="str"/>
      <c r="AH106" s="1" t="str"/>
      <c r="AI106" s="1" t="str"/>
      <c r="AJ106" s="1" t="str"/>
      <c r="AK106" s="1" t="str"/>
      <c r="AL106" s="1" t="str"/>
      <c r="AM106" s="1" t="str"/>
      <c r="AN106" s="1" t="str"/>
      <c r="AQ106" s="7">
        <v>4</v>
      </c>
      <c r="AR106" t="str"/>
      <c r="AS106">
        <f>IF(AQ106=-1,0,IF(AQ106&lt;=3,'词条'!I7,'词条'!J7))</f>
      </c>
      <c r="AT106" s="5">
        <f>INT(AQ108+AR108*('路线'!B28+'路线'!B29)+AS106*'路线'!B15+AS108)</f>
      </c>
      <c r="AU106" s="5">
        <f>INT(AQ108+AR108*('路线'!B28+'路线'!B29)+AS106*'路线'!B18+AS108)</f>
      </c>
      <c r="AV106" s="9">
        <f>INT(AQ108+AR108*('路线'!B28+'路线'!B29)+AS106*'路线'!B21+AS108)</f>
      </c>
      <c r="AW106" s="2">
        <f>AT106+AW105</f>
      </c>
      <c r="AX106" s="1" t="str"/>
      <c r="AY106" s="1" t="str"/>
      <c r="AZ106" s="1" t="str"/>
      <c r="BA106" s="1" t="str"/>
      <c r="BB106" s="1" t="str"/>
      <c r="BC106" s="1" t="str"/>
      <c r="BD106" s="1" t="str"/>
      <c r="BE106" s="1" t="str"/>
      <c r="BF106" s="1" t="str"/>
      <c r="BG106" s="1" t="str"/>
      <c r="BH106" s="1" t="str"/>
    </row>
    <row customHeight="true" ht="16" r="107">
      <c r="A107" s="16"/>
      <c r="B107" s="16"/>
      <c r="C107" s="4" t="str">
        <v>基础值</v>
      </c>
      <c r="D107" s="4" t="str">
        <v>a强化</v>
      </c>
      <c r="E107" s="4" t="str">
        <v>事件</v>
      </c>
      <c r="F107" s="32" t="str">
        <v>SP</v>
      </c>
      <c r="G107" s="32"/>
      <c r="H107" s="32"/>
      <c r="I107" t="str"/>
      <c r="J107" t="str"/>
      <c r="M107" t="str">
        <v>百分比</v>
      </c>
      <c r="N107" t="str">
        <v>sp训练</v>
      </c>
      <c r="O107" t="str">
        <v>事件</v>
      </c>
      <c r="P107" s="13" t="str"/>
      <c r="S107" t="str"/>
      <c r="T107" t="str"/>
      <c r="W107" t="str">
        <v>基础值</v>
      </c>
      <c r="X107" t="str">
        <v>sp训练</v>
      </c>
      <c r="Y107" t="str">
        <v>事件</v>
      </c>
      <c r="Z107" s="14" t="str">
        <v>SP</v>
      </c>
      <c r="AC107" s="1" t="str"/>
      <c r="AD107" s="1" t="str"/>
      <c r="AE107" s="1" t="str"/>
      <c r="AF107" s="1" t="str"/>
      <c r="AG107" s="1" t="str"/>
      <c r="AH107" s="1" t="str"/>
      <c r="AI107" s="1" t="str"/>
      <c r="AJ107" s="1" t="str"/>
      <c r="AK107" s="1" t="str"/>
      <c r="AL107" s="1" t="str"/>
      <c r="AM107" s="1" t="str"/>
      <c r="AN107" s="1" t="str"/>
      <c r="AQ107" t="str">
        <v>基础值</v>
      </c>
      <c r="AR107" t="str">
        <v>强化</v>
      </c>
      <c r="AS107" t="str">
        <v>事件</v>
      </c>
      <c r="AT107" s="14" t="str">
        <v>SP</v>
      </c>
      <c r="AW107" s="2">
        <f>AU106+AW105</f>
      </c>
      <c r="AX107" s="1" t="str"/>
      <c r="AY107" s="1" t="str"/>
      <c r="AZ107" s="1" t="str"/>
      <c r="BA107" s="1" t="str"/>
      <c r="BB107" s="1" t="str"/>
      <c r="BC107" s="1" t="str"/>
      <c r="BD107" s="1" t="str"/>
      <c r="BE107" s="1" t="str"/>
      <c r="BF107" s="1" t="str"/>
      <c r="BG107" s="1" t="str"/>
      <c r="BH107" s="1" t="str"/>
    </row>
    <row customHeight="true" ht="16" r="108">
      <c r="A108" s="16"/>
      <c r="B108" s="16"/>
      <c r="C108" s="4">
        <f>IF(C106=-1,0,INDEX('词条'!C3:G3,C106+1))</f>
      </c>
      <c r="D108" s="4">
        <f>IF(C106=-1,0,IF(C106&lt;=2,'词条'!F11,'词条'!G11))</f>
      </c>
      <c r="E108" s="4">
        <f>IF(C106=-1,0,CHOOSE(C106+1,'词条'!C2,'词条'!D2,'词条'!D2,'词条'!D2,'词条'!E2))</f>
      </c>
      <c r="F108" s="17" t="str">
        <v>非凡</v>
      </c>
      <c r="G108" s="17"/>
      <c r="H108" s="17"/>
      <c r="I108" t="str"/>
      <c r="J108" t="str"/>
      <c r="M108">
        <f>IF(M106=-1,0,INDEX('词条'!C4:G4,M106+1))</f>
      </c>
      <c r="N108">
        <f>IF(M106=-1,0,IF(M106&lt;=2,'词条'!C7,'词条'!D7))</f>
      </c>
      <c r="O108">
        <f>IF(M106=-1,0,CHOOSE(M106+1,'词条'!C2,'词条'!D2,'词条'!D2,'词条'!D2,'词条'!E2))</f>
      </c>
      <c r="P108" s="10" t="str">
        <v>感性</v>
      </c>
      <c r="S108" t="str"/>
      <c r="T108" t="str"/>
      <c r="W108">
        <f>IF(W106=-1,0,INDEX('词条'!C3:G3,W106+1))</f>
      </c>
      <c r="X108">
        <f>IF(W106=-1,0,IF(W106&lt;=2,'词条'!C7,'词条'!D7))</f>
      </c>
      <c r="Y108">
        <f>IF(W106=-1,0,CHOOSE(W106+1,'词条'!C2,'词条'!D2,'词条'!D2,'词条'!D2,'词条'!E2))</f>
      </c>
      <c r="Z108" s="15" t="str">
        <v>非凡</v>
      </c>
      <c r="AC108" s="1" t="str"/>
      <c r="AD108" s="1" t="str"/>
      <c r="AE108" s="1" t="str"/>
      <c r="AF108" s="1" t="str"/>
      <c r="AG108" s="1" t="str"/>
      <c r="AH108" s="1" t="str"/>
      <c r="AI108" s="1" t="str"/>
      <c r="AJ108" s="1" t="str"/>
      <c r="AK108" s="1" t="str"/>
      <c r="AL108" s="1" t="str"/>
      <c r="AM108" s="1" t="str"/>
      <c r="AN108" s="1" t="str"/>
      <c r="AQ108">
        <f>IF(AQ106=-1,0,INDEX('词条'!I3:M3,AQ106+1))</f>
      </c>
      <c r="AR108">
        <f>IF(AQ106=-1,0,IF(AQ106=0,'词条'!I9,'词条'!J9))</f>
      </c>
      <c r="AS108">
        <f>IF(AQ106=-1,0,CHOOSE(AQ106+1,'词条'!I2,'词条'!I2,'词条'!J2,'词条'!J2,'词条'!K2))</f>
      </c>
      <c r="AT108" s="15" t="str">
        <v>非凡</v>
      </c>
      <c r="AW108" s="2">
        <f>AV106+AW105</f>
      </c>
      <c r="AX108" s="1" t="str"/>
      <c r="AY108" s="1" t="str"/>
      <c r="AZ108" s="1" t="str"/>
      <c r="BA108" s="1" t="str"/>
      <c r="BB108" s="1" t="str"/>
      <c r="BC108" s="1" t="str"/>
      <c r="BD108" s="1" t="str"/>
      <c r="BE108" s="1" t="str"/>
      <c r="BF108" s="1" t="str"/>
      <c r="BG108" s="1" t="str"/>
      <c r="BH108" s="1" t="str"/>
    </row>
    <row customHeight="true" ht="16" r="109">
      <c r="A109" s="1" t="str"/>
      <c r="B109" s="1" t="str"/>
      <c r="C109" s="1" t="str"/>
      <c r="D109" s="1" t="str"/>
      <c r="E109" s="1" t="str"/>
      <c r="F109" s="1" t="str"/>
      <c r="G109" s="1" t="str"/>
      <c r="H109" s="1" t="str"/>
      <c r="I109" s="1" t="str"/>
      <c r="J109" s="1" t="str"/>
      <c r="K109" s="1" t="str"/>
      <c r="L109" s="1" t="str"/>
      <c r="M109" s="1" t="str"/>
      <c r="N109" s="1" t="str"/>
      <c r="O109" s="1" t="str"/>
      <c r="P109" s="1" t="str"/>
      <c r="Q109" s="1" t="str"/>
      <c r="R109" s="1" t="str"/>
      <c r="S109" s="1" t="str"/>
      <c r="T109" s="1" t="str"/>
      <c r="U109" s="1" t="str"/>
      <c r="V109" s="1" t="str"/>
      <c r="W109" s="1" t="str"/>
      <c r="X109" s="1" t="str"/>
      <c r="Y109" s="1" t="str"/>
      <c r="Z109" s="1" t="str"/>
      <c r="AA109" s="1" t="str"/>
      <c r="AB109" s="1" t="str"/>
      <c r="AC109" s="1" t="str"/>
      <c r="AD109" s="1" t="str"/>
      <c r="AE109" s="1" t="str"/>
      <c r="AF109" s="1" t="str"/>
      <c r="AG109" s="1" t="str"/>
      <c r="AH109" s="1" t="str"/>
      <c r="AI109" s="1" t="str"/>
      <c r="AJ109" s="1" t="str"/>
      <c r="AK109" s="1" t="str"/>
      <c r="AL109" s="1" t="str"/>
      <c r="AM109" s="1" t="str"/>
      <c r="AN109" s="1" t="str"/>
      <c r="AO109" s="1" t="str"/>
      <c r="AP109" s="1" t="str"/>
      <c r="AQ109" s="1" t="str"/>
      <c r="AR109" s="1" t="str"/>
      <c r="AS109" s="1" t="str"/>
      <c r="AT109" s="1" t="str"/>
      <c r="AU109" s="1" t="str"/>
      <c r="AV109" s="1" t="str"/>
      <c r="AW109" s="1" t="str"/>
      <c r="AX109" s="1" t="str"/>
      <c r="AY109" s="1" t="str"/>
      <c r="AZ109" s="1" t="str"/>
      <c r="BA109" s="1" t="str"/>
      <c r="BB109" s="1" t="str"/>
      <c r="BC109" s="1" t="str"/>
      <c r="BD109" s="1" t="str"/>
      <c r="BE109" s="1" t="str"/>
      <c r="BF109" s="1" t="str"/>
      <c r="BG109" s="1" t="str"/>
      <c r="BH109" s="1" t="str"/>
    </row>
    <row customHeight="true" ht="16" r="110">
      <c r="A110" s="1" t="str"/>
      <c r="B110" s="1" t="str"/>
      <c r="C110" s="1" t="str"/>
      <c r="D110" s="1" t="str"/>
      <c r="E110" s="1" t="str"/>
      <c r="F110" s="1" t="str"/>
      <c r="G110" s="1" t="str"/>
      <c r="H110" s="1" t="str"/>
      <c r="I110" t="str"/>
      <c r="J110" t="str"/>
      <c r="K110" s="3" t="str">
        <v>利用し合うのが友達！（黄毛摸鱼）</v>
      </c>
      <c r="R110" s="1" t="str"/>
      <c r="S110" s="2" t="str">
        <v>道具属性</v>
      </c>
      <c r="T110" s="1" t="str"/>
      <c r="U110" t="str">
        <v>ひとりごとです（汤达人）</v>
      </c>
      <c r="AB110" s="1" t="str"/>
      <c r="AC110" s="1" t="str"/>
      <c r="AD110" s="1" t="str"/>
      <c r="AE110" s="1" t="str"/>
      <c r="AF110" s="1" t="str"/>
      <c r="AG110" s="1" t="str"/>
      <c r="AH110" s="1" t="str"/>
      <c r="AI110" s="1" t="str"/>
      <c r="AJ110" s="1" t="str"/>
      <c r="AK110" s="1" t="str"/>
      <c r="AL110" s="1" t="str"/>
      <c r="AM110" s="1" t="str"/>
      <c r="AN110" s="1" t="str"/>
      <c r="AO110" s="1" t="str"/>
      <c r="AP110" s="1" t="str"/>
      <c r="AQ110" s="1" t="str"/>
      <c r="AR110" s="1" t="str"/>
      <c r="AS110" s="1" t="str"/>
      <c r="AT110" s="1" t="str"/>
      <c r="AU110" s="1" t="str"/>
      <c r="AV110" s="1" t="str"/>
      <c r="AW110" s="1" t="str"/>
      <c r="AX110" s="1" t="str"/>
      <c r="AY110" s="1" t="str"/>
      <c r="AZ110" s="1" t="str"/>
      <c r="BA110" s="1" t="str"/>
      <c r="BB110" s="1" t="str"/>
      <c r="BC110" s="1" t="str"/>
      <c r="BD110" s="1" t="str"/>
      <c r="BE110" s="1" t="str"/>
      <c r="BF110" s="1" t="str"/>
      <c r="BG110" s="1" t="str"/>
      <c r="BH110" s="1" t="str"/>
    </row>
    <row customHeight="true" ht="63" r="111">
      <c r="A111" s="1" t="str"/>
      <c r="B111" s="1" t="str"/>
      <c r="C111" s="1" t="str"/>
      <c r="D111" s="1" t="str"/>
      <c r="E111" s="1" t="str"/>
      <c r="F111" s="1" t="str"/>
      <c r="G111" s="1" t="str"/>
      <c r="H111" s="1" t="str"/>
      <c r="I111" t="str"/>
      <c r="J111" t="str"/>
      <c r="K111" s="13"/>
      <c r="M111" t="str">
        <v>破数</v>
      </c>
      <c r="N111" t="str">
        <v>试验终了</v>
      </c>
      <c r="O111" t="str">
        <v>营业</v>
      </c>
      <c r="P111" s="8" t="str">
        <v>第一属性</v>
      </c>
      <c r="Q111" s="5" t="str">
        <v>第二属性</v>
      </c>
      <c r="R111" s="6" t="str">
        <v>第三属性</v>
      </c>
      <c r="S111" s="2">
        <f>IF(M112=-1,0,20)</f>
      </c>
      <c r="T111" t="str"/>
      <c r="U111" s="13"/>
      <c r="W111" t="str">
        <v>破数</v>
      </c>
      <c r="X111" t="str">
        <v>变卡</v>
      </c>
      <c r="Y111" t="str">
        <v>删a卡</v>
      </c>
      <c r="Z111" s="29" t="str">
        <v>第一属性</v>
      </c>
      <c r="AA111" s="28" t="str">
        <v>第二属性</v>
      </c>
      <c r="AB111" s="27" t="str">
        <v>第三属性</v>
      </c>
      <c r="AC111" s="1" t="str"/>
      <c r="AD111" s="1" t="str"/>
      <c r="AE111" s="1" t="str"/>
      <c r="AF111" s="1" t="str"/>
      <c r="AG111" s="1" t="str"/>
      <c r="AH111" s="1" t="str"/>
      <c r="AI111" s="1" t="str"/>
      <c r="AJ111" s="1" t="str"/>
      <c r="AK111" s="1" t="str"/>
      <c r="AL111" s="1" t="str"/>
      <c r="AM111" s="1" t="str"/>
      <c r="AN111" s="1" t="str"/>
      <c r="AO111" s="1" t="str"/>
      <c r="AP111" s="1" t="str"/>
      <c r="AQ111" s="1" t="str"/>
      <c r="AR111" s="1" t="str"/>
      <c r="AS111" s="1" t="str"/>
      <c r="AT111" s="1" t="str"/>
      <c r="AU111" s="1" t="str"/>
      <c r="AV111" s="1" t="str"/>
      <c r="AW111" s="1" t="str"/>
      <c r="AX111" s="1" t="str"/>
      <c r="AY111" s="1" t="str"/>
      <c r="AZ111" s="1" t="str"/>
      <c r="BA111" s="1" t="str"/>
      <c r="BB111" s="1" t="str"/>
      <c r="BC111" s="1" t="str"/>
      <c r="BD111" s="1" t="str"/>
      <c r="BE111" s="1" t="str"/>
      <c r="BF111" s="1" t="str"/>
      <c r="BG111" s="1" t="str"/>
      <c r="BH111" s="1" t="str"/>
    </row>
    <row customHeight="true" ht="16" r="112">
      <c r="A112" s="1" t="str"/>
      <c r="B112" s="1" t="str"/>
      <c r="C112" s="1" t="str"/>
      <c r="D112" s="1" t="str"/>
      <c r="E112" s="1" t="str"/>
      <c r="F112" s="1" t="str"/>
      <c r="G112" s="1" t="str"/>
      <c r="H112" s="1" t="str"/>
      <c r="I112" t="str"/>
      <c r="J112" t="str"/>
      <c r="M112" s="7">
        <v>4</v>
      </c>
      <c r="N112">
        <f>IF(M112=-1,0,IF(M112&lt;=1,'词条'!C19,'词条'!D19))</f>
      </c>
      <c r="O112">
        <f>IF(M112=-1,0,IF(M112&lt;=3,'词条'!C16,'词条'!D16))</f>
      </c>
      <c r="P112" s="5">
        <f>INT(M114+N112+N114*IF('路线'!B38&lt;=3,'路线'!B38,3)+O112*'路线'!B30+O114)</f>
      </c>
      <c r="Q112" s="5">
        <f>INT(M114+N112+N114*IF('路线'!B38&lt;=3,'路线'!B38,3)+O112*'路线'!B30+O114)</f>
      </c>
      <c r="R112" s="5">
        <f>INT(M114+N112+N114*IF('路线'!B38&lt;=3,'路线'!B38,3)+O112*'路线'!B30+O114)</f>
      </c>
      <c r="S112" s="2">
        <f>P112+S111</f>
      </c>
      <c r="T112" t="str"/>
      <c r="W112" s="7">
        <v>4</v>
      </c>
      <c r="X112">
        <f>IF(W112=-1,0,IF(W112&lt;=1,'词条'!C25,'词条'!D25))</f>
      </c>
      <c r="Y112">
        <f>IF(W112=-1,0,IF(W112&lt;=3,'词条'!F22,'词条'!G22))</f>
      </c>
      <c r="Z112" s="5">
        <f>IF(W112=-1,0,IF('路线'!C6="计算",INT(W114+X112*IF('路线'!B38&lt;=3,'路线'!B38,3)+X114*'路线'!B15+Y112*IF('路线'!B37&lt;=3,'路线'!B37,3)+Y114+40),INT(W114+X112*IF('路线'!B38&lt;=3,'路线'!B38,3)+X114*'路线'!B15+Y112*IF('路线'!B37&lt;=3,'路线'!B37,3)+Y114)))</f>
      </c>
      <c r="AA112" s="5">
        <f>IF(W112=-1,0,IF('路线'!C6="计算",INT(W114+X112*IF('路线'!B38&lt;=3,'路线'!B38,3)+X114*'路线'!B18+Y112*IF('路线'!B37&lt;=3,'路线'!B37,3)+Y114+40),INT(W114+X112*IF('路线'!B38&lt;=3,'路线'!B38,3)+X114*'路线'!B18+Y112*IF('路线'!B37&lt;=3,'路线'!B37,3)+Y114)))</f>
      </c>
      <c r="AB112" s="9">
        <f>IF(W112=-1,0,IF('路线'!C6="计算",INT(W114+X112*IF('路线'!B38&lt;=3,'路线'!B38,3)+X114*'路线'!B21+Y112*IF('路线'!B37&lt;=3,'路线'!B37,3)+Y114+40),INT(W114+X112*IF('路线'!B38&lt;=3,'路线'!B38,3)+X114*'路线'!B21+Y112*IF('路线'!B37&lt;=3,'路线'!B37,3)+Y114)))</f>
      </c>
      <c r="AC112" s="1" t="str"/>
      <c r="AD112" s="1" t="str"/>
      <c r="AE112" s="1" t="str"/>
      <c r="AF112" s="1" t="str"/>
      <c r="AG112" s="1" t="str"/>
      <c r="AH112" s="1" t="str"/>
      <c r="AI112" s="1" t="str"/>
      <c r="AJ112" s="1" t="str"/>
      <c r="AK112" s="1" t="str"/>
      <c r="AL112" s="1" t="str"/>
      <c r="AM112" s="1" t="str"/>
      <c r="AN112" s="1" t="str"/>
      <c r="AO112" s="1" t="str"/>
      <c r="AP112" s="1" t="str"/>
      <c r="AQ112" s="1" t="str"/>
      <c r="AR112" s="1" t="str"/>
      <c r="AS112" s="1" t="str"/>
      <c r="AT112" s="1" t="str"/>
      <c r="AU112" s="1" t="str"/>
      <c r="AV112" s="1" t="str"/>
      <c r="AW112" s="1" t="str"/>
      <c r="AX112" s="1" t="str"/>
      <c r="AY112" s="1" t="str"/>
      <c r="AZ112" s="1" t="str"/>
      <c r="BA112" s="1" t="str"/>
      <c r="BB112" s="1" t="str"/>
      <c r="BC112" s="1" t="str"/>
      <c r="BD112" s="1" t="str"/>
      <c r="BE112" s="1" t="str"/>
      <c r="BF112" s="1" t="str"/>
      <c r="BG112" s="1" t="str"/>
      <c r="BH112" s="1" t="str"/>
    </row>
    <row customHeight="true" ht="16" r="113">
      <c r="A113" s="1" t="str"/>
      <c r="B113" s="1" t="str"/>
      <c r="C113" s="1" t="str"/>
      <c r="D113" s="1" t="str"/>
      <c r="E113" s="1" t="str"/>
      <c r="F113" s="1" t="str"/>
      <c r="G113" s="1" t="str"/>
      <c r="H113" s="1" t="str"/>
      <c r="I113" t="str"/>
      <c r="J113" t="str"/>
      <c r="M113" t="str">
        <v>基础值</v>
      </c>
      <c r="N113" t="str">
        <v>变卡</v>
      </c>
      <c r="O113" t="str">
        <v>事件</v>
      </c>
      <c r="P113" s="13" t="str"/>
      <c r="S113" s="2">
        <f>Q112+S111</f>
      </c>
      <c r="T113" t="str"/>
      <c r="W113" t="str">
        <v>基础值</v>
      </c>
      <c r="X113" t="str">
        <v>sp训练</v>
      </c>
      <c r="Y113" t="str">
        <v>事件</v>
      </c>
      <c r="Z113" s="13" t="str"/>
      <c r="AC113" s="1" t="str"/>
      <c r="AD113" s="1" t="str"/>
      <c r="AE113" s="1" t="str"/>
      <c r="AF113" s="1" t="str"/>
      <c r="AG113" s="1" t="str"/>
      <c r="AH113" s="1" t="str"/>
      <c r="AI113" s="1" t="str"/>
      <c r="AJ113" s="1" t="str"/>
      <c r="AK113" s="1" t="str"/>
      <c r="AL113" s="1" t="str"/>
      <c r="AM113" s="1" t="str"/>
      <c r="AN113" s="1" t="str"/>
      <c r="AO113" s="1" t="str"/>
      <c r="AP113" s="1" t="str"/>
      <c r="AQ113" s="1" t="str"/>
      <c r="AR113" s="1" t="str"/>
      <c r="AS113" s="1" t="str"/>
      <c r="AT113" s="1" t="str"/>
      <c r="AU113" s="1" t="str"/>
      <c r="AV113" s="1" t="str"/>
      <c r="AW113" s="1" t="str"/>
      <c r="AX113" s="1" t="str"/>
      <c r="AY113" s="1" t="str"/>
      <c r="AZ113" s="1" t="str"/>
      <c r="BA113" s="1" t="str"/>
      <c r="BB113" s="1" t="str"/>
      <c r="BC113" s="1" t="str"/>
      <c r="BD113" s="1" t="str"/>
      <c r="BE113" s="1" t="str"/>
      <c r="BF113" s="1" t="str"/>
      <c r="BG113" s="1" t="str"/>
      <c r="BH113" s="1" t="str"/>
    </row>
    <row customHeight="true" ht="16" r="114">
      <c r="A114" s="1" t="str"/>
      <c r="B114" s="1" t="str"/>
      <c r="C114" s="1" t="str"/>
      <c r="D114" s="1" t="str"/>
      <c r="E114" s="1" t="str"/>
      <c r="F114" s="1" t="str"/>
      <c r="G114" s="1" t="str"/>
      <c r="H114" s="1" t="str"/>
      <c r="I114" t="str"/>
      <c r="J114" t="str"/>
      <c r="M114">
        <f>IF(M112=-1,0,INDEX('词条'!C3:G3,M112+1))</f>
      </c>
      <c r="N114">
        <f>IF(M112=-1,0,IF(M112&lt;=2,'词条'!C25,'词条'!D25))</f>
      </c>
      <c r="O114">
        <f>IF(M112=-1,0,CHOOSE(M112+1,'词条'!C2,'词条'!D2,'词条'!D2,'词条'!D2,'词条'!E2))</f>
      </c>
      <c r="P114" s="11" t="str">
        <v>通用</v>
      </c>
      <c r="S114" s="2">
        <f>R112+S111</f>
      </c>
      <c r="T114" t="str"/>
      <c r="W114">
        <f>IF(W112=-1,0,INDEX('词条'!C3:G3,W112+1))</f>
      </c>
      <c r="X114">
        <f>IF(W112=-1,0,IF(W112&lt;=2,'词条'!C7,'词条'!D7))</f>
      </c>
      <c r="Y114">
        <f>IF(W112=-1,0,CHOOSE(W112+1,'词条'!C2,'词条'!D2,'词条'!D2,'词条'!D2,'词条'!E2))</f>
      </c>
      <c r="Z114" s="15" t="str">
        <v>非凡</v>
      </c>
      <c r="AC114" s="1" t="str"/>
      <c r="AD114" s="1" t="str"/>
      <c r="AE114" s="1" t="str"/>
      <c r="AF114" s="1" t="str"/>
      <c r="AG114" s="1" t="str"/>
      <c r="AH114" s="1" t="str"/>
      <c r="AI114" s="1" t="str"/>
      <c r="AJ114" s="1" t="str"/>
      <c r="AK114" s="1" t="str"/>
      <c r="AL114" s="1" t="str"/>
      <c r="AM114" s="1" t="str"/>
      <c r="AN114" s="1" t="str"/>
      <c r="AO114" s="1" t="str"/>
      <c r="AP114" s="1" t="str"/>
      <c r="AQ114" s="1" t="str"/>
      <c r="AR114" s="1" t="str"/>
      <c r="AS114" s="1" t="str"/>
      <c r="AT114" s="1" t="str"/>
      <c r="AU114" s="1" t="str"/>
      <c r="AV114" s="1" t="str"/>
      <c r="AW114" s="1" t="str"/>
      <c r="AX114" s="1" t="str"/>
      <c r="AY114" s="1" t="str"/>
      <c r="AZ114" s="1" t="str"/>
      <c r="BA114" s="1" t="str"/>
      <c r="BB114" s="1" t="str"/>
      <c r="BC114" s="1" t="str"/>
      <c r="BD114" s="1" t="str"/>
      <c r="BE114" s="1" t="str"/>
      <c r="BF114" s="1" t="str"/>
      <c r="BG114" s="1" t="str"/>
      <c r="BH114" s="1" t="str"/>
    </row>
    <row customHeight="true" ht="16" r="115">
      <c r="A115" s="1" t="str"/>
      <c r="B115" s="1" t="str"/>
      <c r="C115" s="1" t="str"/>
      <c r="D115" s="1" t="str"/>
      <c r="E115" s="1" t="str"/>
      <c r="F115" s="1" t="str"/>
      <c r="G115" s="1" t="str"/>
      <c r="H115" s="1" t="str"/>
      <c r="I115" s="1" t="str"/>
      <c r="J115" s="1" t="str"/>
      <c r="K115" s="1" t="str"/>
      <c r="L115" s="1" t="str"/>
      <c r="M115" s="1" t="str"/>
      <c r="N115" s="1" t="str"/>
      <c r="O115" s="1" t="str"/>
      <c r="P115" s="1" t="str"/>
      <c r="Q115" s="1" t="str"/>
      <c r="R115" s="1" t="str"/>
      <c r="S115" s="1" t="str"/>
      <c r="T115" s="1" t="str"/>
      <c r="U115" s="1" t="str"/>
      <c r="V115" s="1" t="str"/>
      <c r="W115" s="1" t="str"/>
      <c r="X115" s="1" t="str"/>
      <c r="Y115" s="1" t="str"/>
      <c r="Z115" s="1" t="str"/>
      <c r="AA115" s="1" t="str"/>
      <c r="AB115" s="1" t="str"/>
      <c r="AC115" s="1" t="str"/>
      <c r="AD115" s="1" t="str"/>
      <c r="AE115" s="1" t="str"/>
      <c r="AF115" s="1" t="str"/>
      <c r="AG115" s="1" t="str"/>
      <c r="AH115" s="1" t="str"/>
      <c r="AI115" s="1" t="str"/>
      <c r="AJ115" s="1" t="str"/>
      <c r="AK115" s="1" t="str"/>
      <c r="AL115" s="1" t="str"/>
      <c r="AM115" s="1" t="str"/>
      <c r="AN115" s="1" t="str"/>
      <c r="AO115" s="1" t="str"/>
      <c r="AP115" s="1" t="str"/>
      <c r="AQ115" s="1" t="str"/>
      <c r="AR115" s="1" t="str"/>
      <c r="AS115" s="1" t="str"/>
      <c r="AT115" s="1" t="str"/>
      <c r="AU115" s="1" t="str"/>
      <c r="AV115" s="1" t="str"/>
      <c r="AW115" s="1" t="str"/>
      <c r="AX115" s="1" t="str"/>
      <c r="AY115" s="1" t="str"/>
      <c r="AZ115" s="1" t="str"/>
      <c r="BA115" s="1" t="str"/>
      <c r="BB115" s="1" t="str"/>
      <c r="BC115" s="1" t="str"/>
      <c r="BD115" s="1" t="str"/>
      <c r="BE115" s="1" t="str"/>
      <c r="BF115" s="1" t="str"/>
      <c r="BG115" s="1" t="str"/>
      <c r="BH115" s="1" t="str"/>
    </row>
    <row customHeight="true" ht="16" r="116">
      <c r="A116" s="1" t="str"/>
      <c r="B116" s="1" t="str"/>
      <c r="C116" s="1" t="str"/>
      <c r="D116" s="1" t="str"/>
      <c r="E116" s="1" t="str"/>
      <c r="F116" s="1" t="str"/>
      <c r="G116" s="1" t="str"/>
      <c r="H116" s="1" t="str"/>
      <c r="I116" s="1" t="str"/>
      <c r="J116" s="1" t="str"/>
      <c r="K116" t="str">
        <v>よくやったな、倉本。（台灯）</v>
      </c>
      <c r="R116" s="1" t="str"/>
      <c r="S116" s="1" t="str"/>
      <c r="T116" s="1" t="str"/>
      <c r="U116" t="str">
        <v>わたしと美鈴、超仲良し（运动会）</v>
      </c>
      <c r="AB116" s="1" t="str"/>
      <c r="AC116" s="1" t="str"/>
      <c r="AD116" s="1" t="str"/>
      <c r="AE116" s="1" t="str"/>
      <c r="AF116" s="1" t="str"/>
      <c r="AG116" s="1" t="str"/>
      <c r="AH116" s="1" t="str"/>
      <c r="AI116" s="1" t="str"/>
      <c r="AJ116" s="1" t="str"/>
      <c r="AK116" s="1" t="str"/>
      <c r="AL116" s="1" t="str"/>
      <c r="AM116" s="1" t="str"/>
      <c r="AN116" s="1" t="str"/>
      <c r="AO116" s="1" t="str"/>
      <c r="AP116" s="1" t="str"/>
      <c r="AQ116" s="1" t="str"/>
      <c r="AR116" s="1" t="str"/>
      <c r="AS116" s="1" t="str"/>
      <c r="AT116" s="1" t="str"/>
      <c r="AU116" s="1" t="str"/>
      <c r="AV116" s="1" t="str"/>
      <c r="AW116" s="1" t="str"/>
      <c r="AX116" s="1" t="str"/>
      <c r="AY116" s="1" t="str"/>
      <c r="AZ116" s="1" t="str"/>
      <c r="BA116" s="1" t="str"/>
      <c r="BB116" s="1" t="str"/>
      <c r="BC116" s="1" t="str"/>
      <c r="BD116" s="1" t="str"/>
      <c r="BE116" s="1" t="str"/>
      <c r="BF116" s="1" t="str"/>
      <c r="BG116" s="1" t="str"/>
      <c r="BH116" s="1" t="str"/>
    </row>
    <row customHeight="true" ht="63" r="117">
      <c r="A117" s="1" t="str"/>
      <c r="B117" s="1" t="str"/>
      <c r="C117" s="1" t="str"/>
      <c r="D117" s="1" t="str"/>
      <c r="E117" s="1" t="str"/>
      <c r="F117" s="1" t="str"/>
      <c r="G117" s="1" t="str"/>
      <c r="H117" s="1" t="str"/>
      <c r="I117" s="1" t="str"/>
      <c r="J117" s="1" t="str"/>
      <c r="K117" s="13"/>
      <c r="M117" t="str">
        <v>破数</v>
      </c>
      <c r="N117" t="str"/>
      <c r="O117" t="str">
        <v>饮料</v>
      </c>
      <c r="P117" s="8" t="str">
        <v>第一属性</v>
      </c>
      <c r="Q117" s="5" t="str">
        <v>第二属性</v>
      </c>
      <c r="R117" s="6" t="str">
        <v>第三属性</v>
      </c>
      <c r="S117" t="str"/>
      <c r="T117" s="1" t="str"/>
      <c r="U117" s="13"/>
      <c r="W117" t="str">
        <v>破数</v>
      </c>
      <c r="X117" s="1" t="str"/>
      <c r="Y117" t="str">
        <v>sp训练</v>
      </c>
      <c r="Z117" s="29" t="str">
        <v>第一属性</v>
      </c>
      <c r="AA117" s="28" t="str">
        <v>第二属性</v>
      </c>
      <c r="AB117" s="27" t="str">
        <v>第三属性</v>
      </c>
      <c r="AC117" s="1" t="str"/>
      <c r="AD117" s="1" t="str"/>
      <c r="AE117" s="1" t="str"/>
      <c r="AF117" s="1" t="str"/>
      <c r="AG117" s="1" t="str"/>
      <c r="AH117" s="1" t="str"/>
      <c r="AI117" s="1" t="str"/>
      <c r="AJ117" s="1" t="str"/>
      <c r="AK117" s="1" t="str"/>
      <c r="AL117" s="1" t="str"/>
      <c r="AM117" s="1" t="str"/>
      <c r="AN117" s="1" t="str"/>
      <c r="AO117" s="1" t="str"/>
      <c r="AP117" s="1" t="str"/>
      <c r="AQ117" s="1" t="str"/>
      <c r="AR117" s="1" t="str"/>
      <c r="AS117" s="1" t="str"/>
      <c r="AT117" s="1" t="str"/>
      <c r="AU117" s="1" t="str"/>
      <c r="AV117" s="1" t="str"/>
      <c r="AW117" s="1" t="str"/>
      <c r="AX117" s="1" t="str"/>
      <c r="AY117" s="1" t="str"/>
      <c r="AZ117" s="1" t="str"/>
      <c r="BA117" s="1" t="str"/>
      <c r="BB117" s="1" t="str"/>
      <c r="BC117" s="1" t="str"/>
      <c r="BD117" s="1" t="str"/>
      <c r="BE117" s="1" t="str"/>
      <c r="BF117" s="1" t="str"/>
      <c r="BG117" s="1" t="str"/>
      <c r="BH117" s="1" t="str"/>
    </row>
    <row customHeight="true" ht="16" r="118">
      <c r="A118" s="1" t="str"/>
      <c r="B118" s="1" t="str"/>
      <c r="C118" s="1" t="str"/>
      <c r="D118" s="1" t="str"/>
      <c r="E118" s="1" t="str"/>
      <c r="F118" s="1" t="str"/>
      <c r="G118" s="1" t="str"/>
      <c r="H118" s="1" t="str"/>
      <c r="I118" s="1" t="str"/>
      <c r="J118" s="1" t="str"/>
      <c r="M118" s="7">
        <v>4</v>
      </c>
      <c r="N118" t="str"/>
      <c r="O118">
        <f>IF(M118=-1,0,IF(M118&lt;=3,'词条'!F20,'词条'!G20))</f>
      </c>
      <c r="P118" s="5">
        <f>INT(M120+N120*'路线'!B15+O118*'路线'!B40+O120)</f>
      </c>
      <c r="Q118" s="5">
        <f>INT(M120+N120*'路线'!B18+O118*'路线'!B40+O120)</f>
      </c>
      <c r="R118" s="5">
        <f>INT(M120+N120*'路线'!B21+O118*'路线'!B40+O120)</f>
      </c>
      <c r="S118" t="str"/>
      <c r="T118" t="str"/>
      <c r="W118" s="7">
        <v>4</v>
      </c>
      <c r="X118" t="str"/>
      <c r="Y118">
        <f>IF(W118=-1,0,IF(W118&lt;=3,'词条'!F7,'词条'!G7))</f>
      </c>
      <c r="Z118" s="5">
        <f>IF(W118=-1,0,INT((W120/100)*'路线'!B11+X120*'路线'!B23+Y118*'路线'!B15+Y120))</f>
      </c>
      <c r="AA118" s="5">
        <f>IF(W118=-1,0,INT((W120/100)*'路线'!B12+X120*'路线'!B23+Y118*'路线'!B18+Y120))</f>
      </c>
      <c r="AB118" s="9">
        <f>IF(W118=-1,0,INT((W120/100)*'路线'!B13+X120*'路线'!B23+Y118*'路线'!B21+Y120))</f>
      </c>
      <c r="AC118" s="1" t="str"/>
      <c r="AD118" s="1" t="str"/>
      <c r="AE118" s="1" t="str"/>
      <c r="AF118" s="1" t="str"/>
      <c r="AG118" s="1" t="str"/>
      <c r="AH118" s="1" t="str"/>
      <c r="AI118" s="1" t="str"/>
      <c r="AJ118" s="1" t="str"/>
      <c r="AK118" s="1" t="str"/>
      <c r="AL118" s="1" t="str"/>
      <c r="AM118" s="1" t="str"/>
      <c r="AN118" s="1" t="str"/>
      <c r="AO118" s="1" t="str"/>
      <c r="AP118" s="1" t="str"/>
      <c r="AQ118" s="1" t="str"/>
      <c r="AR118" s="1" t="str"/>
      <c r="AS118" s="1" t="str"/>
      <c r="AT118" s="1" t="str"/>
      <c r="AU118" s="1" t="str"/>
      <c r="AV118" s="1" t="str"/>
      <c r="AW118" s="1" t="str"/>
      <c r="AX118" s="1" t="str"/>
      <c r="AY118" s="1" t="str"/>
      <c r="AZ118" s="1" t="str"/>
      <c r="BA118" s="1" t="str"/>
      <c r="BB118" s="1" t="str"/>
      <c r="BC118" s="1" t="str"/>
      <c r="BD118" s="1" t="str"/>
      <c r="BE118" s="1" t="str"/>
      <c r="BF118" s="1" t="str"/>
      <c r="BG118" s="1" t="str"/>
      <c r="BH118" s="1" t="str"/>
    </row>
    <row customHeight="true" ht="16" r="119">
      <c r="A119" s="1" t="str"/>
      <c r="B119" s="1" t="str"/>
      <c r="C119" s="1" t="str"/>
      <c r="D119" s="1" t="str"/>
      <c r="E119" s="1" t="str"/>
      <c r="F119" s="1" t="str"/>
      <c r="G119" s="1" t="str"/>
      <c r="H119" s="1" t="str"/>
      <c r="I119" s="1" t="str"/>
      <c r="J119" s="1" t="str"/>
      <c r="M119" t="str">
        <v>基础值</v>
      </c>
      <c r="N119" t="str">
        <v>sp训练</v>
      </c>
      <c r="O119" t="str">
        <v>事件</v>
      </c>
      <c r="P119" s="14" t="str">
        <v>SP</v>
      </c>
      <c r="S119" t="str"/>
      <c r="T119" t="str"/>
      <c r="W119" t="str">
        <v>百分比</v>
      </c>
      <c r="X119" t="str">
        <v>抓a卡</v>
      </c>
      <c r="Y119" t="str">
        <v>事件</v>
      </c>
      <c r="Z119" s="13" t="str"/>
      <c r="AC119" s="1" t="str"/>
      <c r="AD119" s="1" t="str"/>
      <c r="AE119" s="1" t="str"/>
      <c r="AF119" s="1" t="str"/>
      <c r="AG119" s="1" t="str"/>
      <c r="AH119" s="1" t="str"/>
      <c r="AI119" s="1" t="str"/>
      <c r="AJ119" s="1" t="str"/>
      <c r="AK119" s="1" t="str"/>
      <c r="AL119" s="1" t="str"/>
      <c r="AM119" s="1" t="str"/>
      <c r="AN119" s="1" t="str"/>
      <c r="AO119" s="1" t="str"/>
      <c r="AP119" s="1" t="str"/>
      <c r="AQ119" s="1" t="str"/>
      <c r="AR119" s="1" t="str"/>
      <c r="AS119" s="1" t="str"/>
      <c r="AT119" s="1" t="str"/>
      <c r="AU119" s="1" t="str"/>
      <c r="AV119" s="1" t="str"/>
      <c r="AW119" s="1" t="str"/>
      <c r="AX119" s="1" t="str"/>
      <c r="AY119" s="1" t="str"/>
      <c r="AZ119" s="1" t="str"/>
      <c r="BA119" s="1" t="str"/>
      <c r="BB119" s="1" t="str"/>
      <c r="BC119" s="1" t="str"/>
      <c r="BD119" s="1" t="str"/>
      <c r="BE119" s="1" t="str"/>
      <c r="BF119" s="1" t="str"/>
      <c r="BG119" s="1" t="str"/>
      <c r="BH119" s="1" t="str"/>
    </row>
    <row customHeight="true" ht="16" r="120">
      <c r="A120" s="1" t="str"/>
      <c r="B120" s="1" t="str"/>
      <c r="C120" s="1" t="str"/>
      <c r="D120" s="1" t="str"/>
      <c r="E120" s="1" t="str"/>
      <c r="F120" s="1" t="str"/>
      <c r="G120" s="1" t="str"/>
      <c r="H120" s="1" t="str"/>
      <c r="I120" s="1" t="str"/>
      <c r="J120" s="1" t="str"/>
      <c r="M120">
        <f>IF(M118=-1,0,INDEX('词条'!C3:G3,M118+1))</f>
      </c>
      <c r="N120">
        <f>IF(M118=-1,0,IF(M118&lt;=2,'词条'!C7,'词条'!D7))</f>
      </c>
      <c r="O120">
        <f>IF(M118=-1,0,CHOOSE(M118+1,'词条'!C2,'词条'!D2,'词条'!D2,'词条'!D2,'词条'!E2))</f>
      </c>
      <c r="P120" s="15" t="str">
        <v>非凡</v>
      </c>
      <c r="S120" t="str"/>
      <c r="T120" t="str"/>
      <c r="W120">
        <f>IF(W118=-1,0,INDEX('词条'!C4:G4,W118+1))</f>
      </c>
      <c r="X120">
        <f>IF(W118=-1,0,IF(W118&lt;=2,'词条'!F14,'词条'!G14))</f>
      </c>
      <c r="Y120">
        <f>IF(W118=-1,0,CHOOSE(W118+1,'词条'!C2,'词条'!D2,'词条'!D2,'词条'!D2,'词条'!E2))</f>
      </c>
      <c r="Z120" s="11" t="str">
        <v>通用</v>
      </c>
      <c r="AC120" s="1" t="str"/>
      <c r="AD120" s="1" t="str"/>
      <c r="AE120" s="1" t="str"/>
      <c r="AF120" s="1" t="str"/>
      <c r="AG120" s="1" t="str"/>
      <c r="AH120" s="1" t="str"/>
      <c r="AI120" s="1" t="str"/>
      <c r="AJ120" s="1" t="str"/>
      <c r="AK120" s="1" t="str"/>
      <c r="AL120" s="1" t="str"/>
      <c r="AM120" s="1" t="str"/>
      <c r="AN120" s="1" t="str"/>
      <c r="AO120" s="1" t="str"/>
      <c r="AP120" s="1" t="str"/>
      <c r="AQ120" s="1" t="str"/>
      <c r="AR120" s="1" t="str"/>
      <c r="AS120" s="1" t="str"/>
      <c r="AT120" s="1" t="str"/>
      <c r="AU120" s="1" t="str"/>
      <c r="AV120" s="1" t="str"/>
      <c r="AW120" s="1" t="str"/>
      <c r="AX120" s="1" t="str"/>
      <c r="AY120" s="1" t="str"/>
      <c r="AZ120" s="1" t="str"/>
      <c r="BA120" s="1" t="str"/>
      <c r="BB120" s="1" t="str"/>
      <c r="BC120" s="1" t="str"/>
      <c r="BD120" s="1" t="str"/>
      <c r="BE120" s="1" t="str"/>
      <c r="BF120" s="1" t="str"/>
      <c r="BG120" s="1" t="str"/>
      <c r="BH120" s="1" t="str"/>
    </row>
    <row customHeight="true" ht="16" r="121"/>
    <row customHeight="true" ht="16" r="122">
      <c r="K122" s="4" t="str">
        <v>すっかり仲良しって感じ♪（金萝卜）</v>
      </c>
      <c r="L122" s="4"/>
      <c r="M122" s="4"/>
      <c r="N122" s="4"/>
      <c r="O122" s="4"/>
      <c r="P122" s="4"/>
      <c r="Q122" s="4"/>
      <c r="R122" s="4"/>
      <c r="U122" s="4" t="str">
        <v>迷子のおしらせです（mygo）</v>
      </c>
      <c r="V122" s="4"/>
      <c r="W122" s="4"/>
      <c r="X122" s="4"/>
      <c r="Y122" s="4"/>
      <c r="Z122" s="4"/>
      <c r="AA122" s="4"/>
      <c r="AB122" s="3"/>
    </row>
    <row customHeight="true" ht="62.45274725274725" r="123">
      <c r="K123" s="16"/>
      <c r="L123" s="16"/>
      <c r="M123" s="4" t="str">
        <v>破数</v>
      </c>
      <c r="N123" s="4"/>
      <c r="O123" s="4" t="str">
        <v>sp训练</v>
      </c>
      <c r="P123" s="18" t="str">
        <v>第一属性</v>
      </c>
      <c r="Q123" s="20" t="str">
        <v>第二属性</v>
      </c>
      <c r="R123" s="21" t="str">
        <v>第三属性</v>
      </c>
      <c r="U123" s="16"/>
      <c r="V123" s="16"/>
      <c r="W123" s="4" t="str">
        <v>破数</v>
      </c>
      <c r="X123" s="4"/>
      <c r="Y123" s="4" t="str">
        <v>抓m卡</v>
      </c>
      <c r="Z123" s="38" t="str">
        <v>第一属性</v>
      </c>
      <c r="AA123" s="39" t="str">
        <v>第二属性</v>
      </c>
      <c r="AB123" s="40" t="str">
        <v>第三属性</v>
      </c>
    </row>
    <row customHeight="true" ht="16" r="124">
      <c r="K124" s="16"/>
      <c r="L124" s="16"/>
      <c r="M124" s="19">
        <v>0</v>
      </c>
      <c r="N124" s="4"/>
      <c r="O124" s="4">
        <f>IF(M124=-1,0,IF(M124&lt;=3,'词条'!F7,'词条'!G7))</f>
      </c>
      <c r="P124" s="18">
        <f>INT(M126+N126+O124*'路线'!B15+O126)</f>
      </c>
      <c r="Q124" s="20">
        <f>INT(M126+N126+O124*'路线'!B18+O126)</f>
      </c>
      <c r="R124" s="21">
        <f>INT(M126+N126+O124*'路线'!B21+O126)</f>
      </c>
      <c r="U124" s="16"/>
      <c r="V124" s="16"/>
      <c r="W124" s="19">
        <v>0</v>
      </c>
      <c r="X124" s="4"/>
      <c r="Y124" s="4">
        <f>IF(W124=-1,0,IF(W124&lt;=3,'词条'!F13,'词条'!G13))</f>
      </c>
      <c r="Z124" s="18">
        <f>INT(W126+X126*'路线'!B29+Y124*'路线'!B24+Y126)</f>
      </c>
      <c r="AA124" s="22">
        <f>INT(W126+X126*'路线'!B29+Y124*'路线'!B24+Y126)</f>
      </c>
      <c r="AB124" s="21">
        <f>INT(W126+X126*'路线'!B29+Y124*'路线'!B24+Y126)</f>
      </c>
    </row>
    <row customHeight="true" ht="16" r="125">
      <c r="K125" s="16"/>
      <c r="L125" s="16"/>
      <c r="M125" s="4" t="str">
        <v>基础值</v>
      </c>
      <c r="N125" s="4" t="str">
        <v>试验终了</v>
      </c>
      <c r="O125" s="4" t="str">
        <v>事件</v>
      </c>
      <c r="P125" s="32" t="str">
        <v>SP</v>
      </c>
      <c r="Q125" s="32"/>
      <c r="R125" s="32"/>
      <c r="U125" s="16"/>
      <c r="V125" s="16"/>
      <c r="W125" s="4" t="str">
        <v>基础值</v>
      </c>
      <c r="X125" s="4" t="str">
        <v>m强化</v>
      </c>
      <c r="Y125" s="4" t="str">
        <v>事件</v>
      </c>
      <c r="Z125" s="32" t="str">
        <v>SP</v>
      </c>
      <c r="AA125" s="32"/>
      <c r="AB125" s="32"/>
    </row>
    <row customHeight="true" ht="16" r="126">
      <c r="K126" s="16"/>
      <c r="L126" s="16"/>
      <c r="M126" s="4">
        <f>IF(M124=-1,0,INDEX('词条'!C3:G3,M124+1))</f>
      </c>
      <c r="N126" s="4">
        <f>IF(M124=-1,0,IF(M124&lt;=2,'词条'!F19,'词条'!G19))</f>
      </c>
      <c r="O126" s="4">
        <f>IF(M124=-1,0,CHOOSE(M124+1,'词条'!C2,'词条'!D2,'词条'!D2,'词条'!D2,'词条'!E2))</f>
      </c>
      <c r="P126" s="31" t="str">
        <v>感性</v>
      </c>
      <c r="Q126" s="31"/>
      <c r="R126" s="31"/>
      <c r="U126" s="16"/>
      <c r="V126" s="16"/>
      <c r="W126" s="4">
        <f>IF(W124=-1,0,INDEX('词条'!C3:G3,W124+1))</f>
      </c>
      <c r="X126" s="4">
        <f>IF(W124=-1,0,IF(W124&lt;=2,'词条'!F10,'词条'!G10))</f>
      </c>
      <c r="Y126" s="4">
        <f>IF(W124=-1,0,CHOOSE(W124+1,'词条'!C2,'词条'!D2,'词条'!D2,'词条'!D2,'词条'!E2))</f>
      </c>
      <c r="Z126" s="23" t="str">
        <v>理性</v>
      </c>
      <c r="AA126" s="23"/>
      <c r="AB126" s="23"/>
    </row>
    <row customHeight="true" ht="16" r="127"/>
    <row customHeight="true" ht="16" r="128">
      <c r="U128" s="4" t="str">
        <v>推し活なひととき、だね！（猫头鹰）</v>
      </c>
      <c r="V128" s="4"/>
      <c r="W128" s="4"/>
      <c r="X128" s="4"/>
      <c r="Y128" s="4"/>
      <c r="Z128" s="4"/>
      <c r="AA128" s="4"/>
      <c r="AB128" s="3"/>
    </row>
    <row customHeight="true" ht="62.389655172413796" r="129">
      <c r="U129" s="16"/>
      <c r="V129" s="16"/>
      <c r="W129" s="4" t="str">
        <v>破数</v>
      </c>
      <c r="X129" s="34" t="str">
        <v>抓好印象卡</v>
      </c>
      <c r="Y129" s="4" t="str">
        <v>支给</v>
      </c>
      <c r="Z129" s="38" t="str">
        <v>第一属性</v>
      </c>
      <c r="AA129" s="39" t="str">
        <v>第二属性</v>
      </c>
      <c r="AB129" s="40" t="str">
        <v>第三属性</v>
      </c>
    </row>
    <row customHeight="true" ht="16" r="130">
      <c r="U130" s="16"/>
      <c r="V130" s="16"/>
      <c r="W130" s="19">
        <v>4</v>
      </c>
      <c r="X130" s="4">
        <f>IF(W130=-1,0,IF(W130&lt;=1,'词条'!C24,'词条'!D24))</f>
      </c>
      <c r="Y130" s="4">
        <f>IF(W130=-1,0,IF(W130&lt;=3,'词条'!C12,'词条'!D12))</f>
      </c>
      <c r="Z130" s="18">
        <f>IF(W130=-1,0,INT((W132/100)*'路线'!B11+X130*'路线'!B27+IF('路线'!B41&gt;6,6,'路线'!B41)*X132+Y130*'路线'!B34+Y132))</f>
      </c>
      <c r="AA130" s="22">
        <f>IF(W130=-1,0,INT((W132/100)*'路线'!B12+X130*'路线'!B27+IF('路线'!B41&gt;6,6,'路线'!B41)*X132+Y130*'路线'!B34+Y132))</f>
      </c>
      <c r="AB130" s="21">
        <f>IF(W130=-1,0,INT((W132/100)*'路线'!B13+X130*'路线'!B27+IF('路线'!B41&gt;6,6,'路线'!B41)*X132+Y130*'路线'!B34+Y132))</f>
      </c>
    </row>
    <row customHeight="true" ht="16" r="131">
      <c r="U131" s="16"/>
      <c r="V131" s="16"/>
      <c r="W131" s="4" t="str">
        <v>百分比</v>
      </c>
      <c r="X131" s="4" t="str">
        <v>指导</v>
      </c>
      <c r="Y131" s="4" t="str">
        <v>事件</v>
      </c>
      <c r="Z131" s="16"/>
      <c r="AA131" s="16"/>
      <c r="AB131" s="16"/>
    </row>
    <row customHeight="true" ht="16" r="132">
      <c r="U132" s="16"/>
      <c r="V132" s="16"/>
      <c r="W132" s="4">
        <f>IF(W130=-1,0,INDEX('词条'!C4:G4,W130+1))</f>
      </c>
      <c r="X132" s="4">
        <f>IF(W112=-1,0,IF(W112&lt;=2,'词条'!C26,'词条'!D26))</f>
      </c>
      <c r="Y132" s="4">
        <f>IF(W130=-1,0,CHOOSE(W130+1,'词条'!C2,'词条'!D2,'词条'!D2,'词条'!D2,'词条'!E2))</f>
      </c>
      <c r="Z132" s="23" t="str">
        <v>理性</v>
      </c>
      <c r="AA132" s="23"/>
      <c r="AB132" s="23"/>
    </row>
    <row customHeight="true" ht="16" r="133"/>
    <row customHeight="true" ht="16" r="134"/>
    <row customHeight="true" ht="16" r="135"/>
    <row customHeight="true" ht="16" r="136"/>
    <row customHeight="true" ht="16" r="137"/>
    <row customHeight="true" ht="16" r="138"/>
    <row customHeight="true" ht="16" r="139"/>
    <row customHeight="true" ht="16" r="140"/>
    <row customHeight="true" ht="16" r="141"/>
    <row customHeight="true" ht="16" r="142"/>
    <row customHeight="true" ht="16" r="143"/>
    <row customHeight="true" ht="16" r="144"/>
    <row customHeight="true" ht="16" r="145"/>
    <row customHeight="true" ht="16" r="146"/>
    <row customHeight="true" ht="16" r="147"/>
    <row customHeight="true" ht="16" r="148"/>
    <row customHeight="true" ht="16" r="149"/>
    <row customHeight="true" ht="16" r="150"/>
    <row customHeight="true" ht="16" r="151"/>
    <row customHeight="true" ht="16" r="152"/>
    <row customHeight="true" ht="16" r="153"/>
    <row customHeight="true" ht="16" r="154"/>
  </sheetData>
  <mergeCells>
    <mergeCell ref="A2:G2"/>
    <mergeCell ref="K2:Q2"/>
    <mergeCell ref="U2:AA2"/>
    <mergeCell ref="AE2:AK2"/>
    <mergeCell ref="AO2:AU2"/>
    <mergeCell ref="AY2:BE2"/>
    <mergeCell ref="A3:B6"/>
    <mergeCell ref="K3:L6"/>
    <mergeCell ref="U3:V6"/>
    <mergeCell ref="AE3:AF6"/>
    <mergeCell ref="AO3:AP6"/>
    <mergeCell ref="AY3:AZ6"/>
    <mergeCell ref="F5:H5"/>
    <mergeCell ref="P5:R5"/>
    <mergeCell ref="Z5:AB5"/>
    <mergeCell ref="AJ5:AL5"/>
    <mergeCell ref="AT5:AV5"/>
    <mergeCell ref="BD5:BF5"/>
    <mergeCell ref="F6:H6"/>
    <mergeCell ref="P6:R6"/>
    <mergeCell ref="Z6:AB6"/>
    <mergeCell ref="AJ6:AL6"/>
    <mergeCell ref="AT6:AV6"/>
    <mergeCell ref="BD6:BF6"/>
    <mergeCell ref="A8:G8"/>
    <mergeCell ref="K8:Q8"/>
    <mergeCell ref="U8:AA8"/>
    <mergeCell ref="AE8:AK8"/>
    <mergeCell ref="AO8:AU8"/>
    <mergeCell ref="AY8:BE8"/>
    <mergeCell ref="A9:B12"/>
    <mergeCell ref="K9:L12"/>
    <mergeCell ref="U9:V12"/>
    <mergeCell ref="AE9:AF12"/>
    <mergeCell ref="AO9:AP12"/>
    <mergeCell ref="AY9:AZ12"/>
    <mergeCell ref="F11:H11"/>
    <mergeCell ref="P11:R11"/>
    <mergeCell ref="Z11:AB11"/>
    <mergeCell ref="AJ11:AL11"/>
    <mergeCell ref="AT11:AV11"/>
    <mergeCell ref="BD11:BF11"/>
    <mergeCell ref="F12:H12"/>
    <mergeCell ref="P12:R12"/>
    <mergeCell ref="Z12:AB12"/>
    <mergeCell ref="AJ12:AL12"/>
    <mergeCell ref="AT12:AV12"/>
    <mergeCell ref="BD12:BF12"/>
    <mergeCell ref="A14:G14"/>
    <mergeCell ref="K14:Q14"/>
    <mergeCell ref="U14:AA14"/>
    <mergeCell ref="AE14:AK14"/>
    <mergeCell ref="AO14:AU14"/>
    <mergeCell ref="AY14:BE14"/>
    <mergeCell ref="A15:B18"/>
    <mergeCell ref="K15:L18"/>
    <mergeCell ref="U15:V18"/>
    <mergeCell ref="AE15:AF18"/>
    <mergeCell ref="AO15:AP18"/>
    <mergeCell ref="AY15:AZ18"/>
    <mergeCell ref="F17:H17"/>
    <mergeCell ref="P17:R17"/>
    <mergeCell ref="Z17:AB17"/>
    <mergeCell ref="AJ17:AL17"/>
    <mergeCell ref="AT17:AV17"/>
    <mergeCell ref="BD17:BF17"/>
    <mergeCell ref="F18:H18"/>
    <mergeCell ref="P18:R18"/>
    <mergeCell ref="Z18:AB18"/>
    <mergeCell ref="AJ18:AL18"/>
    <mergeCell ref="AT18:AV18"/>
    <mergeCell ref="BD18:BF18"/>
    <mergeCell ref="A20:G20"/>
    <mergeCell ref="K20:Q20"/>
    <mergeCell ref="U20:AA20"/>
    <mergeCell ref="AE20:AK20"/>
    <mergeCell ref="AO20:AU20"/>
    <mergeCell ref="AY20:BE20"/>
    <mergeCell ref="A21:B24"/>
    <mergeCell ref="K21:L24"/>
    <mergeCell ref="U21:V24"/>
    <mergeCell ref="AE21:AF24"/>
    <mergeCell ref="AO21:AP24"/>
    <mergeCell ref="AY21:AZ24"/>
    <mergeCell ref="F23:H23"/>
    <mergeCell ref="P23:R23"/>
    <mergeCell ref="Z23:AB23"/>
    <mergeCell ref="AJ23:AL23"/>
    <mergeCell ref="AT23:AV23"/>
    <mergeCell ref="BD23:BF23"/>
    <mergeCell ref="F24:H24"/>
    <mergeCell ref="P24:R24"/>
    <mergeCell ref="Z24:AB24"/>
    <mergeCell ref="AJ24:AL24"/>
    <mergeCell ref="AT24:AV24"/>
    <mergeCell ref="BD24:BF24"/>
    <mergeCell ref="A26:G26"/>
    <mergeCell ref="K26:Q26"/>
    <mergeCell ref="U26:AA26"/>
    <mergeCell ref="AE26:AK26"/>
    <mergeCell ref="AO26:AU26"/>
    <mergeCell ref="AY26:BE26"/>
    <mergeCell ref="A27:B30"/>
    <mergeCell ref="K27:L30"/>
    <mergeCell ref="U27:V30"/>
    <mergeCell ref="AE27:AF30"/>
    <mergeCell ref="AO27:AP30"/>
    <mergeCell ref="AY27:AZ30"/>
    <mergeCell ref="F29:H29"/>
    <mergeCell ref="P29:R29"/>
    <mergeCell ref="Z29:AB29"/>
    <mergeCell ref="AJ29:AL29"/>
    <mergeCell ref="AT29:AV29"/>
    <mergeCell ref="BD29:BF29"/>
    <mergeCell ref="F30:H30"/>
    <mergeCell ref="P30:R30"/>
    <mergeCell ref="Z30:AB30"/>
    <mergeCell ref="AJ30:AL30"/>
    <mergeCell ref="AT30:AV30"/>
    <mergeCell ref="BD30:BF30"/>
    <mergeCell ref="A32:G32"/>
    <mergeCell ref="K32:Q32"/>
    <mergeCell ref="U32:AA32"/>
    <mergeCell ref="AE32:AK32"/>
    <mergeCell ref="AO32:AU32"/>
    <mergeCell ref="AY32:BE32"/>
    <mergeCell ref="A33:B36"/>
    <mergeCell ref="K33:L36"/>
    <mergeCell ref="U33:V36"/>
    <mergeCell ref="AE33:AF36"/>
    <mergeCell ref="AO33:AP36"/>
    <mergeCell ref="AY33:AZ36"/>
    <mergeCell ref="F35:H35"/>
    <mergeCell ref="P35:R35"/>
    <mergeCell ref="Z35:AB35"/>
    <mergeCell ref="AJ35:AL35"/>
    <mergeCell ref="AT35:AV35"/>
    <mergeCell ref="BD35:BF35"/>
    <mergeCell ref="F36:H36"/>
    <mergeCell ref="P36:R36"/>
    <mergeCell ref="Z36:AB36"/>
    <mergeCell ref="AJ36:AL36"/>
    <mergeCell ref="AT36:AV36"/>
    <mergeCell ref="BD36:BF36"/>
    <mergeCell ref="A38:G38"/>
    <mergeCell ref="K38:Q38"/>
    <mergeCell ref="U38:AA38"/>
    <mergeCell ref="AE38:AK38"/>
    <mergeCell ref="AO38:AU38"/>
    <mergeCell ref="AY38:BE38"/>
    <mergeCell ref="A39:B42"/>
    <mergeCell ref="K39:L42"/>
    <mergeCell ref="U39:V42"/>
    <mergeCell ref="AE39:AF42"/>
    <mergeCell ref="AO39:AP42"/>
    <mergeCell ref="AY39:AZ42"/>
    <mergeCell ref="F41:H41"/>
    <mergeCell ref="P41:R41"/>
    <mergeCell ref="Z41:AB41"/>
    <mergeCell ref="AJ41:AL41"/>
    <mergeCell ref="AT41:AV41"/>
    <mergeCell ref="BD41:BF41"/>
    <mergeCell ref="F42:H42"/>
    <mergeCell ref="P42:R42"/>
    <mergeCell ref="Z42:AB42"/>
    <mergeCell ref="AJ42:AL42"/>
    <mergeCell ref="AT42:AV42"/>
    <mergeCell ref="BD42:BF42"/>
    <mergeCell ref="A44:G44"/>
    <mergeCell ref="K44:Q44"/>
    <mergeCell ref="U44:AA44"/>
    <mergeCell ref="AE44:AK44"/>
    <mergeCell ref="AO44:AU44"/>
    <mergeCell ref="AY44:BE44"/>
    <mergeCell ref="A45:B48"/>
    <mergeCell ref="K45:L48"/>
    <mergeCell ref="U45:V48"/>
    <mergeCell ref="AE45:AF48"/>
    <mergeCell ref="AO45:AP48"/>
    <mergeCell ref="AY45:AZ48"/>
    <mergeCell ref="F47:H47"/>
    <mergeCell ref="P47:R47"/>
    <mergeCell ref="Z47:AB47"/>
    <mergeCell ref="AJ47:AL47"/>
    <mergeCell ref="AT47:AV47"/>
    <mergeCell ref="BD47:BF47"/>
    <mergeCell ref="F48:H48"/>
    <mergeCell ref="P48:R48"/>
    <mergeCell ref="Z48:AB48"/>
    <mergeCell ref="AJ48:AL48"/>
    <mergeCell ref="AT48:AV48"/>
    <mergeCell ref="BD48:BF48"/>
    <mergeCell ref="A50:G50"/>
    <mergeCell ref="K50:Q50"/>
    <mergeCell ref="U50:AA50"/>
    <mergeCell ref="AE50:AK50"/>
    <mergeCell ref="AO50:AU50"/>
    <mergeCell ref="AY50:BE50"/>
    <mergeCell ref="A51:B54"/>
    <mergeCell ref="K51:L54"/>
    <mergeCell ref="U51:V54"/>
    <mergeCell ref="AE51:AF54"/>
    <mergeCell ref="AO51:AP54"/>
    <mergeCell ref="AY51:AZ54"/>
    <mergeCell ref="F53:H53"/>
    <mergeCell ref="P53:R53"/>
    <mergeCell ref="Z53:AB53"/>
    <mergeCell ref="AJ53:AL53"/>
    <mergeCell ref="AT53:AV53"/>
    <mergeCell ref="BD53:BF53"/>
    <mergeCell ref="F54:H54"/>
    <mergeCell ref="P54:R54"/>
    <mergeCell ref="Z54:AB54"/>
    <mergeCell ref="AJ54:AL54"/>
    <mergeCell ref="AT54:AV54"/>
    <mergeCell ref="BD54:BF54"/>
    <mergeCell ref="A56:G56"/>
    <mergeCell ref="K56:Q56"/>
    <mergeCell ref="U56:AA56"/>
    <mergeCell ref="AE56:AK56"/>
    <mergeCell ref="AO56:AU56"/>
    <mergeCell ref="AY56:BE56"/>
    <mergeCell ref="A57:B60"/>
    <mergeCell ref="K57:L60"/>
    <mergeCell ref="U57:V60"/>
    <mergeCell ref="AE57:AF60"/>
    <mergeCell ref="AO57:AP60"/>
    <mergeCell ref="AY57:AZ60"/>
    <mergeCell ref="F59:H59"/>
    <mergeCell ref="P59:R59"/>
    <mergeCell ref="Z59:AB59"/>
    <mergeCell ref="AJ59:AL59"/>
    <mergeCell ref="AT59:AV59"/>
    <mergeCell ref="BD59:BF59"/>
    <mergeCell ref="F60:H60"/>
    <mergeCell ref="P60:R60"/>
    <mergeCell ref="Z60:AB60"/>
    <mergeCell ref="AJ60:AL60"/>
    <mergeCell ref="AT60:AV60"/>
    <mergeCell ref="BD60:BF60"/>
    <mergeCell ref="A62:G62"/>
    <mergeCell ref="K62:Q62"/>
    <mergeCell ref="U62:AA62"/>
    <mergeCell ref="AE62:AK62"/>
    <mergeCell ref="AO62:AU62"/>
    <mergeCell ref="AY62:BE62"/>
    <mergeCell ref="A63:B66"/>
    <mergeCell ref="K63:L66"/>
    <mergeCell ref="U63:V66"/>
    <mergeCell ref="AE63:AF66"/>
    <mergeCell ref="AO63:AP66"/>
    <mergeCell ref="AY63:AZ66"/>
    <mergeCell ref="F65:H65"/>
    <mergeCell ref="P65:R65"/>
    <mergeCell ref="Z65:AB65"/>
    <mergeCell ref="AJ65:AL65"/>
    <mergeCell ref="AT65:AV65"/>
    <mergeCell ref="BD65:BF65"/>
    <mergeCell ref="F66:H66"/>
    <mergeCell ref="P66:R66"/>
    <mergeCell ref="Z66:AB66"/>
    <mergeCell ref="AJ66:AL66"/>
    <mergeCell ref="AT66:AV66"/>
    <mergeCell ref="BD66:BF66"/>
    <mergeCell ref="A68:G68"/>
    <mergeCell ref="K68:Q68"/>
    <mergeCell ref="U68:AA68"/>
    <mergeCell ref="AE68:AK68"/>
    <mergeCell ref="AO68:AU68"/>
    <mergeCell ref="AY68:BE68"/>
    <mergeCell ref="A69:B72"/>
    <mergeCell ref="K69:L72"/>
    <mergeCell ref="U69:V72"/>
    <mergeCell ref="AE69:AF72"/>
    <mergeCell ref="AO69:AP72"/>
    <mergeCell ref="AY69:AZ72"/>
    <mergeCell ref="F71:H71"/>
    <mergeCell ref="P71:R71"/>
    <mergeCell ref="Z71:AB71"/>
    <mergeCell ref="AJ71:AL71"/>
    <mergeCell ref="AT71:AV71"/>
    <mergeCell ref="BD71:BF71"/>
    <mergeCell ref="F72:H72"/>
    <mergeCell ref="P72:R72"/>
    <mergeCell ref="Z72:AB72"/>
    <mergeCell ref="AJ72:AL72"/>
    <mergeCell ref="AT72:AV72"/>
    <mergeCell ref="BD72:BF72"/>
    <mergeCell ref="A74:G74"/>
    <mergeCell ref="K74:Q74"/>
    <mergeCell ref="U74:AA74"/>
    <mergeCell ref="AE74:AK74"/>
    <mergeCell ref="AO74:AU74"/>
    <mergeCell ref="AY74:BE74"/>
    <mergeCell ref="A75:B78"/>
    <mergeCell ref="K75:L78"/>
    <mergeCell ref="U75:V78"/>
    <mergeCell ref="AE75:AF78"/>
    <mergeCell ref="AO75:AP78"/>
    <mergeCell ref="AY75:AZ78"/>
    <mergeCell ref="F77:H77"/>
    <mergeCell ref="P77:R77"/>
    <mergeCell ref="Z77:AB77"/>
    <mergeCell ref="AJ77:AL77"/>
    <mergeCell ref="AT77:AV77"/>
    <mergeCell ref="BD77:BF77"/>
    <mergeCell ref="F78:H78"/>
    <mergeCell ref="P78:R78"/>
    <mergeCell ref="Z78:AB78"/>
    <mergeCell ref="AJ78:AL78"/>
    <mergeCell ref="AT78:AV78"/>
    <mergeCell ref="BD78:BF78"/>
    <mergeCell ref="A80:G80"/>
    <mergeCell ref="K80:Q80"/>
    <mergeCell ref="U80:AA80"/>
    <mergeCell ref="AE80:AK80"/>
    <mergeCell ref="AO80:AU80"/>
    <mergeCell ref="AY80:BE80"/>
    <mergeCell ref="A81:B84"/>
    <mergeCell ref="K81:L84"/>
    <mergeCell ref="U81:V84"/>
    <mergeCell ref="AE81:AF84"/>
    <mergeCell ref="AO81:AP84"/>
    <mergeCell ref="AY81:AZ84"/>
    <mergeCell ref="F83:H83"/>
    <mergeCell ref="P83:R83"/>
    <mergeCell ref="Z83:AB83"/>
    <mergeCell ref="AJ83:AL83"/>
    <mergeCell ref="AT83:AV83"/>
    <mergeCell ref="BD83:BF83"/>
    <mergeCell ref="F84:H84"/>
    <mergeCell ref="P84:R84"/>
    <mergeCell ref="Z84:AB84"/>
    <mergeCell ref="AJ84:AL84"/>
    <mergeCell ref="AT84:AV84"/>
    <mergeCell ref="BD84:BF84"/>
    <mergeCell ref="A86:G86"/>
    <mergeCell ref="K86:Q86"/>
    <mergeCell ref="U86:AA86"/>
    <mergeCell ref="AO86:AU86"/>
    <mergeCell ref="AY86:BE86"/>
    <mergeCell ref="A87:B90"/>
    <mergeCell ref="K87:L90"/>
    <mergeCell ref="U87:V90"/>
    <mergeCell ref="AO87:AP90"/>
    <mergeCell ref="AY87:AZ90"/>
    <mergeCell ref="F89:H89"/>
    <mergeCell ref="P89:R89"/>
    <mergeCell ref="Z89:AB89"/>
    <mergeCell ref="AT89:AV89"/>
    <mergeCell ref="BD89:BF89"/>
    <mergeCell ref="F90:H90"/>
    <mergeCell ref="P90:R90"/>
    <mergeCell ref="Z90:AB90"/>
    <mergeCell ref="AT90:AV90"/>
    <mergeCell ref="BD90:BF90"/>
    <mergeCell ref="A92:G92"/>
    <mergeCell ref="K92:Q92"/>
    <mergeCell ref="U92:AA92"/>
    <mergeCell ref="AO92:AU92"/>
    <mergeCell ref="A93:B96"/>
    <mergeCell ref="K93:L96"/>
    <mergeCell ref="U93:V96"/>
    <mergeCell ref="AO93:AP96"/>
    <mergeCell ref="F95:H95"/>
    <mergeCell ref="P95:R95"/>
    <mergeCell ref="Z95:AB95"/>
    <mergeCell ref="AT95:AV95"/>
    <mergeCell ref="F96:H96"/>
    <mergeCell ref="P96:R96"/>
    <mergeCell ref="Z96:AB96"/>
    <mergeCell ref="AT96:AV96"/>
    <mergeCell ref="A98:G98"/>
    <mergeCell ref="K98:Q98"/>
    <mergeCell ref="U98:AA98"/>
    <mergeCell ref="AO98:AU98"/>
    <mergeCell ref="A99:B102"/>
    <mergeCell ref="K99:L102"/>
    <mergeCell ref="U99:V102"/>
    <mergeCell ref="AO99:AP102"/>
    <mergeCell ref="F101:H101"/>
    <mergeCell ref="P101:R101"/>
    <mergeCell ref="Z101:AB101"/>
    <mergeCell ref="AT101:AV101"/>
    <mergeCell ref="F102:H102"/>
    <mergeCell ref="P102:R102"/>
    <mergeCell ref="Z102:AB102"/>
    <mergeCell ref="AT102:AV102"/>
    <mergeCell ref="K104:Q104"/>
    <mergeCell ref="U104:AA104"/>
    <mergeCell ref="K105:L108"/>
    <mergeCell ref="U105:V108"/>
    <mergeCell ref="P107:R107"/>
    <mergeCell ref="Z107:AB107"/>
    <mergeCell ref="P108:R108"/>
    <mergeCell ref="Z108:AB108"/>
    <mergeCell ref="K110:Q110"/>
    <mergeCell ref="U110:AA110"/>
    <mergeCell ref="K111:L114"/>
    <mergeCell ref="U111:V114"/>
    <mergeCell ref="P113:R113"/>
    <mergeCell ref="Z113:AB113"/>
    <mergeCell ref="P114:R114"/>
    <mergeCell ref="Z114:AB114"/>
    <mergeCell ref="U116:AA116"/>
    <mergeCell ref="U117:V120"/>
    <mergeCell ref="Z119:AB119"/>
    <mergeCell ref="Z120:AB120"/>
    <mergeCell ref="K116:Q116"/>
    <mergeCell ref="K117:L120"/>
    <mergeCell ref="P119:R119"/>
    <mergeCell ref="P120:R120"/>
    <mergeCell ref="AO104:AU104"/>
    <mergeCell ref="AO105:AP108"/>
    <mergeCell ref="AT107:AV107"/>
    <mergeCell ref="AT108:AV108"/>
    <mergeCell ref="A104:G104"/>
    <mergeCell ref="A105:B108"/>
    <mergeCell ref="F107:H107"/>
    <mergeCell ref="F108:H108"/>
    <mergeCell ref="K122:Q122"/>
    <mergeCell ref="K123:L126"/>
    <mergeCell ref="P125:R125"/>
    <mergeCell ref="P126:R126"/>
    <mergeCell ref="U122:AA122"/>
    <mergeCell ref="U123:V126"/>
    <mergeCell ref="Z125:AB125"/>
    <mergeCell ref="Z126:AB126"/>
    <mergeCell ref="U128:AA128"/>
    <mergeCell ref="U129:V132"/>
    <mergeCell ref="Z131:AB131"/>
    <mergeCell ref="Z132:AB132"/>
    <mergeCell ref="AY92:BE92"/>
    <mergeCell ref="AY93:AZ96"/>
    <mergeCell ref="BD95:BF95"/>
    <mergeCell ref="BD96:BF96"/>
  </mergeCells>
  <dataValidations count="96">
    <dataValidation allowBlank="true" errorStyle="stop" showErrorMessage="true" sqref="M10" type="list">
      <formula1>"-1,0,1,2,3,4"</formula1>
    </dataValidation>
    <dataValidation allowBlank="true" errorStyle="stop" showErrorMessage="true" sqref="AG82" type="list">
      <formula1>"-1,0,1,2,3,4"</formula1>
    </dataValidation>
    <dataValidation allowBlank="true" errorStyle="stop" showErrorMessage="true" sqref="BA16" type="list">
      <formula1>"-1,0,1,2,3,4"</formula1>
    </dataValidation>
    <dataValidation allowBlank="true" errorStyle="stop" showErrorMessage="true" sqref="BA28" type="list">
      <formula1>"-1,0,1,2,3,4"</formula1>
    </dataValidation>
    <dataValidation allowBlank="true" errorStyle="stop" showErrorMessage="true" sqref="W106" type="list">
      <formula1>"-1,0,1,2,3,4"</formula1>
    </dataValidation>
    <dataValidation allowBlank="true" errorStyle="stop" showErrorMessage="true" sqref="C64" type="list">
      <formula1>"-1,0,1,2,3,4"</formula1>
    </dataValidation>
    <dataValidation allowBlank="true" errorStyle="stop" showErrorMessage="true" sqref="M106" type="list">
      <formula1>"-1,0,1,2,3,4"</formula1>
    </dataValidation>
    <dataValidation allowBlank="true" errorStyle="stop" showErrorMessage="true" sqref="C76" type="list">
      <formula1>"-1,0,1,2,3,4"</formula1>
    </dataValidation>
    <dataValidation allowBlank="true" errorStyle="stop" showErrorMessage="true" sqref="M22" type="list">
      <formula1>"-1,0,1,2,3,4"</formula1>
    </dataValidation>
    <dataValidation allowBlank="true" errorStyle="stop" showErrorMessage="true" sqref="C82" type="list">
      <formula1>"-1,0,1,2,3,4"</formula1>
    </dataValidation>
    <dataValidation allowBlank="true" errorStyle="stop" showErrorMessage="true" sqref="M94" type="list">
      <formula1>"-1,0,1,2,3,4"</formula1>
    </dataValidation>
    <dataValidation allowBlank="true" errorStyle="stop" showErrorMessage="true" sqref="AQ94" type="list">
      <formula1>"-1,0,1,2,3,4"</formula1>
    </dataValidation>
    <dataValidation allowBlank="true" errorStyle="stop" showErrorMessage="true" sqref="AG28" type="list">
      <formula1>"-1,0,1,2,3,4"</formula1>
    </dataValidation>
    <dataValidation allowBlank="true" errorStyle="stop" showErrorMessage="true" sqref="AQ28" type="list">
      <formula1>"-1,0,1,2,3,4"</formula1>
    </dataValidation>
    <dataValidation allowBlank="true" errorStyle="stop" showErrorMessage="true" sqref="C46" type="list">
      <formula1>"-1,0,1,2,3,4"</formula1>
    </dataValidation>
    <dataValidation allowBlank="true" errorStyle="stop" showErrorMessage="true" sqref="AQ16" type="list">
      <formula1>"-1,0,1,2,3,4"</formula1>
    </dataValidation>
    <dataValidation allowBlank="true" errorStyle="stop" showErrorMessage="true" sqref="BA88" type="list">
      <formula1>"-1,0,1,2,3,4"</formula1>
    </dataValidation>
    <dataValidation allowBlank="true" errorStyle="stop" showErrorMessage="true" sqref="W100" type="list">
      <formula1>"-1,0,1,2,3,4"</formula1>
    </dataValidation>
    <dataValidation allowBlank="true" errorStyle="stop" showErrorMessage="true" sqref="AG76" type="list">
      <formula1>"-1,0,1,2,3,4"</formula1>
    </dataValidation>
    <dataValidation allowBlank="true" errorStyle="stop" showErrorMessage="true" sqref="AG4" type="list">
      <formula1>"-1,0,1,2,3,4"</formula1>
    </dataValidation>
    <dataValidation allowBlank="true" errorStyle="stop" showErrorMessage="true" sqref="AQ70" type="list">
      <formula1>"-1,0,1,2,3,4"</formula1>
    </dataValidation>
    <dataValidation allowBlank="true" errorStyle="stop" showErrorMessage="true" sqref="C58" type="list">
      <formula1>"-1,0,1,2,3,4"</formula1>
    </dataValidation>
    <dataValidation allowBlank="true" errorStyle="stop" showErrorMessage="true" sqref="AG10" type="list">
      <formula1>"-1,0,1,2,3,4"</formula1>
    </dataValidation>
    <dataValidation allowBlank="true" errorStyle="stop" showErrorMessage="true" sqref="AG46" type="list">
      <formula1>"-1,0,1,2,3,4"</formula1>
    </dataValidation>
    <dataValidation allowBlank="true" errorStyle="stop" showErrorMessage="true" sqref="AQ58" type="list">
      <formula1>"-1,0,1,2,3,4"</formula1>
    </dataValidation>
    <dataValidation allowBlank="true" errorStyle="stop" showErrorMessage="true" sqref="W52" type="list">
      <formula1>"-1,0,1,2,3,4"</formula1>
    </dataValidation>
    <dataValidation allowBlank="true" errorStyle="stop" showErrorMessage="true" sqref="M70" type="list">
      <formula1>"-1,0,1,2,3,4"</formula1>
    </dataValidation>
    <dataValidation allowBlank="true" errorStyle="stop" showErrorMessage="true" sqref="BA40" type="list">
      <formula1>"-1,0,1,2,3,4"</formula1>
    </dataValidation>
    <dataValidation allowBlank="true" errorStyle="stop" showErrorMessage="true" sqref="C94" type="list">
      <formula1>"-1,0,1,2,3,4"</formula1>
    </dataValidation>
    <dataValidation allowBlank="true" errorStyle="stop" showErrorMessage="true" sqref="C16" type="list">
      <formula1>"-1,0,1,2,3,4"</formula1>
    </dataValidation>
    <dataValidation allowBlank="true" errorStyle="stop" showErrorMessage="true" sqref="W16" type="list">
      <formula1>"-1,0,1,2,3,4"</formula1>
    </dataValidation>
    <dataValidation allowBlank="true" errorStyle="stop" showErrorMessage="true" sqref="BA10" type="list">
      <formula1>"-1,0,1,2,3,4"</formula1>
    </dataValidation>
    <dataValidation allowBlank="true" errorStyle="stop" showErrorMessage="true" sqref="BA4" type="list">
      <formula1>"-1,0,1,2,3,4"</formula1>
    </dataValidation>
    <dataValidation allowBlank="true" errorStyle="stop" showErrorMessage="true" sqref="W4" type="list">
      <formula1>"-1,0,1,2,3,4"</formula1>
    </dataValidation>
    <dataValidation allowBlank="true" errorStyle="stop" showErrorMessage="true" sqref="W28" type="list">
      <formula1>"-1,0,1,2,3,4"</formula1>
    </dataValidation>
    <dataValidation allowBlank="true" errorStyle="stop" showErrorMessage="true" sqref="M64" type="list">
      <formula1>"-1,0,1,2,3,4"</formula1>
    </dataValidation>
    <dataValidation allowBlank="true" errorStyle="stop" showErrorMessage="true" sqref="AQ64" type="list">
      <formula1>"-1,0,1,2,3,4"</formula1>
    </dataValidation>
    <dataValidation allowBlank="true" errorStyle="stop" showErrorMessage="true" sqref="BA34" type="list">
      <formula1>"-1,0,1,2,3,4"</formula1>
    </dataValidation>
    <dataValidation allowBlank="true" errorStyle="stop" showErrorMessage="true" sqref="W64" type="list">
      <formula1>"-1,0,1,2,3,4"</formula1>
    </dataValidation>
    <dataValidation allowBlank="true" errorStyle="stop" showErrorMessage="true" sqref="AG64" type="list">
      <formula1>"-1,0,1,2,3,4"</formula1>
    </dataValidation>
    <dataValidation allowBlank="true" errorStyle="stop" showErrorMessage="true" sqref="AQ4" type="list">
      <formula1>"-1,0,1,2,3,4"</formula1>
    </dataValidation>
    <dataValidation allowBlank="true" errorStyle="stop" showErrorMessage="true" sqref="W70" type="list">
      <formula1>"-1,0,1,2,3,4"</formula1>
    </dataValidation>
    <dataValidation allowBlank="true" errorStyle="stop" showErrorMessage="true" sqref="W40" type="list">
      <formula1>"-1,0,1,2,3,4"</formula1>
    </dataValidation>
    <dataValidation allowBlank="true" errorStyle="stop" showErrorMessage="true" sqref="W112" type="list">
      <formula1>"-1,0,1,2,3,4"</formula1>
    </dataValidation>
    <dataValidation allowBlank="true" errorStyle="stop" showErrorMessage="true" sqref="AQ34" type="list">
      <formula1>"-1,0,1,2,3,4"</formula1>
    </dataValidation>
    <dataValidation allowBlank="true" errorStyle="stop" showErrorMessage="true" sqref="C22" type="list">
      <formula1>"-1,0,1,2,3,4"</formula1>
    </dataValidation>
    <dataValidation allowBlank="true" errorStyle="stop" showErrorMessage="true" sqref="M46" type="list">
      <formula1>"-1,0,1,2,3,4"</formula1>
    </dataValidation>
    <dataValidation allowBlank="true" errorStyle="stop" showErrorMessage="true" sqref="AG52" type="list">
      <formula1>"-1,0,1,2,3,4"</formula1>
    </dataValidation>
    <dataValidation allowBlank="true" errorStyle="stop" showErrorMessage="true" sqref="M52" type="list">
      <formula1>"-1,0,1,2,3,4"</formula1>
    </dataValidation>
    <dataValidation allowBlank="true" errorStyle="stop" showErrorMessage="true" sqref="BA70" type="list">
      <formula1>"-1,0,1,2,3,4"</formula1>
    </dataValidation>
    <dataValidation allowBlank="true" errorStyle="stop" showErrorMessage="true" sqref="AQ88" type="list">
      <formula1>"-1,0,1,2,3,4"</formula1>
    </dataValidation>
    <dataValidation allowBlank="true" errorStyle="stop" showErrorMessage="true" sqref="W88" type="list">
      <formula1>"-1,0,1,2,3,4"</formula1>
    </dataValidation>
    <dataValidation allowBlank="true" errorStyle="stop" showErrorMessage="true" sqref="W58" type="list">
      <formula1>"-1,0,1,2,3,4"</formula1>
    </dataValidation>
    <dataValidation allowBlank="true" errorStyle="stop" showErrorMessage="true" sqref="BA46" type="list">
      <formula1>"-1,0,1,2,3,4"</formula1>
    </dataValidation>
    <dataValidation allowBlank="true" errorStyle="stop" showErrorMessage="true" sqref="BA58" type="list">
      <formula1>"-1,0,1,2,3,4"</formula1>
    </dataValidation>
    <dataValidation allowBlank="true" errorStyle="stop" showErrorMessage="true" sqref="M76" type="list">
      <formula1>"-1,0,1,2,3,4"</formula1>
    </dataValidation>
    <dataValidation allowBlank="true" errorStyle="stop" showErrorMessage="true" sqref="W10" type="list">
      <formula1>"-1,0,1,2,3,4"</formula1>
    </dataValidation>
    <dataValidation allowBlank="true" errorStyle="stop" showErrorMessage="true" sqref="C52" type="list">
      <formula1>"-1,0,1,2,3,4"</formula1>
    </dataValidation>
    <dataValidation allowBlank="true" errorStyle="stop" showErrorMessage="true" sqref="AG70" type="list">
      <formula1>"-1,0,1,2,3,4"</formula1>
    </dataValidation>
    <dataValidation allowBlank="true" errorStyle="stop" showErrorMessage="true" sqref="AG40" type="list">
      <formula1>"-1,0,1,2,3,4"</formula1>
    </dataValidation>
    <dataValidation allowBlank="true" errorStyle="stop" showErrorMessage="true" sqref="C28" type="list">
      <formula1>"-1,0,1,2,3,4"</formula1>
    </dataValidation>
    <dataValidation allowBlank="true" errorStyle="stop" showErrorMessage="true" sqref="AG58" type="list">
      <formula1>"-1,0,1,2,3,4"</formula1>
    </dataValidation>
    <dataValidation allowBlank="true" errorStyle="stop" showErrorMessage="true" sqref="C10" type="list">
      <formula1>"-1,0,1,2,3,4"</formula1>
    </dataValidation>
    <dataValidation allowBlank="true" errorStyle="stop" showErrorMessage="true" sqref="C34" type="list">
      <formula1>"-1,0,1,2,3,4"</formula1>
    </dataValidation>
    <dataValidation allowBlank="true" errorStyle="stop" showErrorMessage="true" sqref="BA22" type="list">
      <formula1>"-1,0,1,2,3,4"</formula1>
    </dataValidation>
    <dataValidation allowBlank="true" errorStyle="stop" showErrorMessage="true" sqref="AQ52" type="list">
      <formula1>"-1,0,1,2,3,4"</formula1>
    </dataValidation>
    <dataValidation allowBlank="true" errorStyle="stop" showErrorMessage="true" sqref="M4" type="list">
      <formula1>"-1,0,1,2,3,4"</formula1>
    </dataValidation>
    <dataValidation allowBlank="true" errorStyle="stop" showErrorMessage="true" sqref="C40" type="list">
      <formula1>"-1,0,1,2,3,4"</formula1>
    </dataValidation>
    <dataValidation allowBlank="true" errorStyle="stop" showErrorMessage="true" sqref="AG16" type="list">
      <formula1>"-1,0,1,2,3,4"</formula1>
    </dataValidation>
    <dataValidation allowBlank="true" errorStyle="stop" showErrorMessage="true" sqref="M16" type="list">
      <formula1>"-1,0,1,2,3,4"</formula1>
    </dataValidation>
    <dataValidation allowBlank="true" errorStyle="stop" showErrorMessage="true" sqref="W34" type="list">
      <formula1>"-1,0,1,2,3,4"</formula1>
    </dataValidation>
    <dataValidation allowBlank="true" errorStyle="stop" showErrorMessage="true" sqref="W22" type="list">
      <formula1>"-1,0,1,2,3,4"</formula1>
    </dataValidation>
    <dataValidation allowBlank="true" errorStyle="stop" showErrorMessage="true" sqref="W118" type="list">
      <formula1>"-1,0,1,2,3,4"</formula1>
    </dataValidation>
    <dataValidation allowBlank="true" errorStyle="stop" showErrorMessage="true" sqref="AQ40" type="list">
      <formula1>"-1,0,1,2,3,4"</formula1>
    </dataValidation>
    <dataValidation allowBlank="true" errorStyle="stop" showErrorMessage="true" sqref="W94" type="list">
      <formula1>"-1,0,1,2,3,4"</formula1>
    </dataValidation>
    <dataValidation allowBlank="true" errorStyle="stop" showErrorMessage="true" sqref="C100" type="list">
      <formula1>"-1,0,1,2,3,4"</formula1>
    </dataValidation>
    <dataValidation allowBlank="true" errorStyle="stop" showErrorMessage="true" sqref="W76" type="list">
      <formula1>"-1,0,1,2,3,4"</formula1>
    </dataValidation>
    <dataValidation allowBlank="true" errorStyle="stop" showErrorMessage="true" sqref="AQ46" type="list">
      <formula1>"-1,0,1,2,3,4"</formula1>
    </dataValidation>
    <dataValidation allowBlank="true" errorStyle="stop" showErrorMessage="true" sqref="M28 M82 M88 M100 M112 M118 M124 W124 W130 BA82 BA94 AQ106 C4 C106" type="list">
      <formula1>"-1,0,1,2,3,4"</formula1>
    </dataValidation>
    <dataValidation allowBlank="true" errorStyle="stop" showErrorMessage="true" sqref="C70" type="list">
      <formula1>"-1,0,1,2,3,4"</formula1>
    </dataValidation>
    <dataValidation allowBlank="true" errorStyle="stop" showErrorMessage="true" sqref="M40" type="list">
      <formula1>"-1,0,1,2,3,4"</formula1>
    </dataValidation>
    <dataValidation allowBlank="true" errorStyle="stop" showErrorMessage="true" sqref="C88" type="list">
      <formula1>"-1,0,1,2,3,4"</formula1>
    </dataValidation>
    <dataValidation allowBlank="true" errorStyle="stop" showErrorMessage="true" sqref="AQ100" type="list">
      <formula1>"-1,0,1,2,3,4"</formula1>
    </dataValidation>
    <dataValidation allowBlank="true" errorStyle="stop" showErrorMessage="true" sqref="BA76" type="list">
      <formula1>"-1,0,1,2,3,4"</formula1>
    </dataValidation>
    <dataValidation allowBlank="true" errorStyle="stop" showErrorMessage="true" sqref="AG34" type="list">
      <formula1>"-1,0,1,2,3,4"</formula1>
    </dataValidation>
    <dataValidation allowBlank="true" errorStyle="stop" showErrorMessage="true" sqref="AG22" type="list">
      <formula1>"-1,0,1,2,3,4"</formula1>
    </dataValidation>
    <dataValidation allowBlank="true" errorStyle="stop" showErrorMessage="true" sqref="M58" type="list">
      <formula1>"-1,0,1,2,3,4"</formula1>
    </dataValidation>
    <dataValidation allowBlank="true" errorStyle="stop" showErrorMessage="true" sqref="W46" type="list">
      <formula1>"-1,0,1,2,3,4"</formula1>
    </dataValidation>
    <dataValidation allowBlank="true" errorStyle="stop" showErrorMessage="true" sqref="AQ10" type="list">
      <formula1>"-1,0,1,2,3,4"</formula1>
    </dataValidation>
    <dataValidation allowBlank="true" errorStyle="stop" showErrorMessage="true" sqref="AQ22" type="list">
      <formula1>"-1,0,1,2,3,4"</formula1>
    </dataValidation>
    <dataValidation allowBlank="true" errorStyle="stop" showErrorMessage="true" sqref="BA52" type="list">
      <formula1>"-1,0,1,2,3,4"</formula1>
    </dataValidation>
    <dataValidation allowBlank="true" errorStyle="stop" showErrorMessage="true" sqref="AQ82" type="list">
      <formula1>"-1,0,1,2,3,4"</formula1>
    </dataValidation>
    <dataValidation allowBlank="true" errorStyle="stop" showErrorMessage="true" sqref="W82" type="list">
      <formula1>"-1,0,1,2,3,4"</formula1>
    </dataValidation>
    <dataValidation allowBlank="true" errorStyle="stop" showErrorMessage="true" sqref="AQ76" type="list">
      <formula1>"-1,0,1,2,3,4"</formula1>
    </dataValidation>
    <dataValidation allowBlank="true" errorStyle="stop" showErrorMessage="true" sqref="M34" type="list">
      <formula1>"-1,0,1,2,3,4"</formula1>
    </dataValidation>
    <dataValidation allowBlank="true" errorStyle="stop" showErrorMessage="true" sqref="BA64" type="list">
      <formula1>"-1,0,1,2,3,4"</formula1>
    </dataValidation>
  </dataValidations>
  <drawing r:id="rId1"/>
</worksheet>
</file>

<file path=xl/worksheets/sheet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9"/>
    <col collapsed="false" customWidth="true" hidden="false" max="2" min="2" style="0" width="9"/>
    <col collapsed="false" customWidth="true" hidden="false" max="3" min="3" style="0" width="9"/>
    <col collapsed="false" customWidth="true" hidden="false" max="4" min="4" style="0" width="9"/>
    <col collapsed="false" customWidth="true" hidden="false" max="5" min="5" style="0" width="9"/>
    <col collapsed="false" customWidth="true" hidden="false" max="6" min="6" style="0" width="9"/>
    <col collapsed="false" customWidth="true" hidden="false" max="7" min="7" style="0" width="9"/>
    <col collapsed="false" customWidth="true" hidden="false" max="8" min="8" style="0" width="9"/>
    <col collapsed="false" customWidth="true" hidden="false" max="9" min="9" style="0" width="9"/>
    <col collapsed="false" customWidth="true" hidden="false" max="10" min="10" style="0" width="9"/>
    <col collapsed="false" customWidth="true" hidden="false" max="11" min="11" style="0" width="9"/>
    <col collapsed="false" customWidth="true" hidden="false" max="12" min="12" style="0" width="9"/>
    <col collapsed="false" customWidth="true" hidden="false" max="13" min="13" style="0" width="9"/>
    <col collapsed="false" customWidth="true" hidden="false" max="14" min="14" style="0" width="9"/>
    <col collapsed="false" customWidth="true" hidden="false" max="15" min="15" style="0" width="9"/>
    <col collapsed="false" customWidth="true" hidden="false" max="16" min="16" style="0" width="9"/>
    <col collapsed="false" customWidth="true" hidden="false" max="17" min="17" style="0" width="9"/>
    <col collapsed="false" customWidth="true" hidden="false" max="18" min="18" style="0" width="9"/>
    <col collapsed="false" customWidth="true" hidden="false" max="19" min="19" style="0" width="9"/>
    <col collapsed="false" customWidth="true" hidden="false" max="20" min="20" style="0" width="9"/>
    <col collapsed="false" customWidth="true" hidden="false" max="21" min="21" style="0" width="9"/>
    <col collapsed="false" customWidth="true" hidden="false" max="22" min="22" style="0" width="9"/>
    <col collapsed="false" customWidth="true" hidden="false" max="23" min="23" style="0" width="9"/>
    <col collapsed="false" customWidth="true" hidden="false" max="24" min="24" style="0" width="9"/>
    <col collapsed="false" customWidth="true" hidden="false" max="25" min="25" style="0" width="9"/>
    <col collapsed="false" customWidth="true" hidden="false" max="26" min="26" style="0" width="9"/>
    <col collapsed="false" customWidth="true" hidden="false" max="27" min="27" style="0" width="9"/>
    <col collapsed="false" customWidth="true" hidden="false" max="28" min="28" style="0" width="9"/>
    <col collapsed="false" customWidth="true" hidden="false" max="29" min="29" style="0" width="9"/>
    <col collapsed="false" customWidth="true" hidden="false" max="30" min="30" style="0" width="9"/>
    <col collapsed="false" customWidth="true" hidden="false" max="31" min="31" style="0" width="9"/>
    <col collapsed="false" customWidth="true" hidden="false" max="32" min="32" style="0" width="9"/>
    <col collapsed="false" customWidth="true" hidden="false" max="33" min="33" style="0" width="9"/>
    <col collapsed="false" customWidth="true" hidden="false" max="34" min="34" style="0" width="9"/>
    <col collapsed="false" customWidth="true" hidden="false" max="35" min="35" style="0" width="9"/>
    <col collapsed="false" customWidth="true" hidden="false" max="36" min="36" style="0" width="9"/>
    <col collapsed="false" customWidth="true" hidden="false" max="37" min="37" style="0" width="9"/>
    <col collapsed="false" customWidth="true" hidden="false" max="38" min="38" style="0" width="9"/>
    <col collapsed="false" customWidth="true" hidden="false" max="39" min="39" style="0" width="9"/>
    <col collapsed="false" customWidth="true" hidden="false" max="40" min="40" style="0" width="9"/>
  </cols>
  <sheetData>
    <row customHeight="true" ht="16" r="1">
      <c r="A1" s="1" t="str">
        <v>第一属性</v>
      </c>
      <c r="B1" s="95" t="str">
        <v>黄</v>
      </c>
      <c r="C1" s="1" t="str">
        <v>最低sp数</v>
      </c>
      <c r="E1" s="96" t="str">
        <v>3 / 3</v>
      </c>
      <c r="H1" s="1" t="str">
        <v>总属性</v>
      </c>
      <c r="I1" s="1">
        <f>I2+I3+I4+I5+I6+I7</f>
      </c>
      <c r="K1" s="96" t="str">
        <v>3 / 2 / 1</v>
      </c>
      <c r="N1" s="1" t="str">
        <v>总属性</v>
      </c>
      <c r="O1" s="1">
        <f>O2+O3+O4+O5+O6+O7</f>
      </c>
      <c r="Q1" s="4"/>
      <c r="R1" s="4"/>
      <c r="S1" s="4"/>
      <c r="T1" s="3" t="str">
        <v>总属性</v>
      </c>
      <c r="U1" s="3">
        <f>U2+U3+U4+U5+U6+U7</f>
      </c>
      <c r="V1" s="4"/>
      <c r="W1" s="94" t="str">
        <v>2 / 2 / 2</v>
      </c>
      <c r="X1" s="4"/>
      <c r="Y1" s="4"/>
      <c r="Z1" s="3" t="str">
        <v>总属性</v>
      </c>
      <c r="AA1" s="3">
        <f>AA2+AA3+AA4+AA5+AA6+AA7</f>
      </c>
      <c r="AB1" s="4"/>
      <c r="AC1" s="92" t="str">
        <v>2 / 4</v>
      </c>
      <c r="AD1" s="3"/>
      <c r="AE1" s="3"/>
      <c r="AF1" s="3" t="str">
        <v>总属性</v>
      </c>
      <c r="AG1" s="77">
        <f>AG2+AG3+AG4+AG5+AG6+AG7</f>
      </c>
      <c r="AH1" s="4"/>
      <c r="AI1" s="93" t="str">
        <v>路线模拟</v>
      </c>
      <c r="AJ1" s="93"/>
      <c r="AK1" s="93"/>
      <c r="AL1" s="93"/>
      <c r="AM1" s="93"/>
      <c r="AN1" s="4"/>
    </row>
    <row customHeight="true" ht="16" r="2">
      <c r="A2" s="1" t="str">
        <v>第二属性</v>
      </c>
      <c r="B2" s="76" t="str">
        <v>蓝</v>
      </c>
      <c r="C2" s="75">
        <v>1</v>
      </c>
      <c r="E2" s="71">
        <f>'借卡计算'!E23</f>
      </c>
      <c r="I2" s="1">
        <f>'借卡计算'!I23</f>
      </c>
      <c r="J2" s="1" t="str"/>
      <c r="K2" s="71">
        <f>'借卡计算'!K23</f>
      </c>
      <c r="O2" s="1">
        <f>'借卡计算'!O23</f>
      </c>
      <c r="P2" s="1" t="str"/>
      <c r="Q2" s="72">
        <f>'借卡计算'!Q23</f>
      </c>
      <c r="R2" s="72"/>
      <c r="S2" s="72"/>
      <c r="T2" s="72"/>
      <c r="U2" s="3">
        <f>'借卡计算'!U23</f>
      </c>
      <c r="V2" s="3"/>
      <c r="W2" s="73">
        <f>'借卡计算'!W23</f>
      </c>
      <c r="X2" s="73"/>
      <c r="Y2" s="73"/>
      <c r="Z2" s="73"/>
      <c r="AA2" s="3">
        <f>'借卡计算'!AA23</f>
      </c>
      <c r="AB2" s="4"/>
      <c r="AC2" s="73">
        <f>'借卡计算'!AC23</f>
      </c>
      <c r="AD2" s="73"/>
      <c r="AE2" s="73"/>
      <c r="AF2" s="73"/>
      <c r="AG2" s="77">
        <f>'借卡计算'!AG23</f>
      </c>
      <c r="AH2" s="4"/>
      <c r="AI2" s="74" t="str">
        <v>请输入初始基础值及百分比</v>
      </c>
      <c r="AJ2" s="74"/>
      <c r="AK2" s="74"/>
      <c r="AL2" s="74"/>
      <c r="AM2" s="74"/>
      <c r="AN2" s="4"/>
    </row>
    <row customHeight="true" ht="16" r="3">
      <c r="A3" s="1" t="str">
        <v>流派</v>
      </c>
      <c r="B3" s="87" t="str">
        <v>理性</v>
      </c>
      <c r="C3" s="99">
        <v>1</v>
      </c>
      <c r="E3" s="71">
        <f>'借卡计算'!E24</f>
      </c>
      <c r="I3" s="1">
        <f>'借卡计算'!I24</f>
      </c>
      <c r="J3" s="1" t="str"/>
      <c r="K3" s="71">
        <f>'借卡计算'!K24</f>
      </c>
      <c r="O3" s="1">
        <f>'借卡计算'!O24</f>
      </c>
      <c r="P3" s="1" t="str"/>
      <c r="Q3" s="72">
        <f>'借卡计算'!Q24</f>
      </c>
      <c r="R3" s="72"/>
      <c r="S3" s="72"/>
      <c r="T3" s="72"/>
      <c r="U3" s="3">
        <f>'借卡计算'!U24</f>
      </c>
      <c r="V3" s="3"/>
      <c r="W3" s="73">
        <f>'借卡计算'!W24</f>
      </c>
      <c r="X3" s="73"/>
      <c r="Y3" s="73"/>
      <c r="Z3" s="73"/>
      <c r="AA3" s="3">
        <f>'借卡计算'!AA24</f>
      </c>
      <c r="AB3" s="4"/>
      <c r="AC3" s="73">
        <f>'借卡计算'!AC24</f>
      </c>
      <c r="AD3" s="73"/>
      <c r="AE3" s="73"/>
      <c r="AF3" s="73"/>
      <c r="AG3" s="77">
        <f>'借卡计算'!AG24</f>
      </c>
      <c r="AH3" s="4"/>
      <c r="AI3" s="98" t="str">
        <v>基础值</v>
      </c>
      <c r="AJ3" s="98"/>
      <c r="AK3" s="100">
        <v>245</v>
      </c>
      <c r="AL3" s="59">
        <v>145</v>
      </c>
      <c r="AM3" s="60">
        <v>223</v>
      </c>
      <c r="AN3" s="4"/>
    </row>
    <row customHeight="true" ht="16" r="4">
      <c r="A4" s="1" t="str">
        <v>道具属性</v>
      </c>
      <c r="B4" s="87" t="str">
        <v>计算</v>
      </c>
      <c r="C4" s="86">
        <v>1</v>
      </c>
      <c r="E4" s="71">
        <f>'借卡计算'!E25</f>
      </c>
      <c r="I4" s="1">
        <f>'借卡计算'!I25</f>
      </c>
      <c r="J4" s="1" t="str"/>
      <c r="K4" s="71">
        <f>'借卡计算'!K25</f>
      </c>
      <c r="O4" s="1">
        <f>'借卡计算'!O25</f>
      </c>
      <c r="P4" s="1" t="str"/>
      <c r="Q4" s="72">
        <f>'借卡计算'!Q25</f>
      </c>
      <c r="R4" s="72"/>
      <c r="S4" s="72"/>
      <c r="T4" s="72"/>
      <c r="U4" s="3">
        <f>'借卡计算'!U25</f>
      </c>
      <c r="V4" s="3"/>
      <c r="W4" s="72">
        <f>'借卡计算'!W25</f>
      </c>
      <c r="X4" s="72"/>
      <c r="Y4" s="72"/>
      <c r="Z4" s="72"/>
      <c r="AA4" s="3">
        <f>'借卡计算'!AA25</f>
      </c>
      <c r="AB4" s="4"/>
      <c r="AC4" s="85">
        <f>'借卡计算'!AC25</f>
      </c>
      <c r="AD4" s="85"/>
      <c r="AE4" s="85"/>
      <c r="AF4" s="85"/>
      <c r="AG4" s="77">
        <f>'借卡计算'!AG25</f>
      </c>
      <c r="AH4" s="4"/>
      <c r="AI4" s="65" t="str">
        <v>百分比</v>
      </c>
      <c r="AJ4" s="65"/>
      <c r="AK4" s="77">
        <v>31.2</v>
      </c>
      <c r="AL4" s="77">
        <v>7</v>
      </c>
      <c r="AM4" s="78">
        <v>38.6</v>
      </c>
      <c r="AN4" s="4"/>
    </row>
    <row customHeight="true" ht="16" r="5">
      <c r="A5" s="1" t="str">
        <v>审查类型</v>
      </c>
      <c r="B5" s="76" t="str">
        <v>均衡</v>
      </c>
      <c r="C5" s="101" t="str">
        <v>（仅主属）</v>
      </c>
      <c r="E5" s="90">
        <f>'借卡计算'!E26</f>
      </c>
      <c r="I5" s="1">
        <f>'借卡计算'!I26</f>
      </c>
      <c r="J5" s="1" t="str"/>
      <c r="K5" s="90">
        <f>'借卡计算'!K26</f>
      </c>
      <c r="O5" s="1">
        <f>'借卡计算'!O26</f>
      </c>
      <c r="P5" s="1" t="str"/>
      <c r="Q5" s="73">
        <f>'借卡计算'!Q26</f>
      </c>
      <c r="R5" s="73"/>
      <c r="S5" s="73"/>
      <c r="T5" s="73"/>
      <c r="U5" s="3">
        <f>'借卡计算'!U26</f>
      </c>
      <c r="V5" s="3"/>
      <c r="W5" s="72">
        <f>'借卡计算'!W26</f>
      </c>
      <c r="X5" s="72"/>
      <c r="Y5" s="72"/>
      <c r="Z5" s="72"/>
      <c r="AA5" s="3">
        <f>'借卡计算'!AA26</f>
      </c>
      <c r="AB5" s="4"/>
      <c r="AC5" s="72">
        <f>'借卡计算'!AC26</f>
      </c>
      <c r="AD5" s="72"/>
      <c r="AE5" s="72"/>
      <c r="AF5" s="72"/>
      <c r="AG5" s="77">
        <f>'借卡计算'!AG26</f>
      </c>
      <c r="AH5" s="4"/>
      <c r="AI5" s="41" t="str">
        <v>请输入支援卡部分词条总加成</v>
      </c>
      <c r="AJ5" s="41"/>
      <c r="AK5" s="41"/>
      <c r="AL5" s="41"/>
      <c r="AM5" s="41"/>
      <c r="AN5" s="4"/>
    </row>
    <row customHeight="true" ht="16" r="6">
      <c r="A6" s="1" t="str">
        <v>塞卡等效属性(20/1)</v>
      </c>
      <c r="C6" s="95" t="str">
        <v>计算</v>
      </c>
      <c r="E6" s="90">
        <f>'借卡计算'!E27</f>
      </c>
      <c r="I6" s="1">
        <f>'借卡计算'!I27</f>
      </c>
      <c r="J6" s="1" t="str"/>
      <c r="K6" s="90">
        <f>'借卡计算'!K27</f>
      </c>
      <c r="O6" s="1">
        <f>'借卡计算'!O27</f>
      </c>
      <c r="P6" s="1" t="str"/>
      <c r="Q6" s="73">
        <f>'借卡计算'!Q27</f>
      </c>
      <c r="R6" s="73"/>
      <c r="S6" s="73"/>
      <c r="T6" s="73"/>
      <c r="U6" s="3">
        <f>'借卡计算'!U27</f>
      </c>
      <c r="V6" s="3"/>
      <c r="W6" s="89">
        <f>'借卡计算'!W27</f>
      </c>
      <c r="X6" s="89"/>
      <c r="Y6" s="89"/>
      <c r="Z6" s="89"/>
      <c r="AA6" s="3">
        <f>'借卡计算'!AA27</f>
      </c>
      <c r="AB6" s="4"/>
      <c r="AC6" s="72">
        <f>'借卡计算'!AC27</f>
      </c>
      <c r="AD6" s="72"/>
      <c r="AE6" s="72"/>
      <c r="AF6" s="72"/>
      <c r="AG6" s="77">
        <f>'借卡计算'!AG27</f>
      </c>
      <c r="AH6" s="4"/>
      <c r="AI6" s="97" t="str">
        <v>训练（sp与普通之和）</v>
      </c>
      <c r="AJ6" s="97"/>
      <c r="AK6" s="16">
        <v>47</v>
      </c>
      <c r="AL6" s="16">
        <v>0</v>
      </c>
      <c r="AM6" s="78">
        <v>47</v>
      </c>
      <c r="AN6" s="4"/>
    </row>
    <row customHeight="true" ht="16" r="7">
      <c r="E7" s="90">
        <f>'借卡计算'!E28</f>
      </c>
      <c r="I7" s="1">
        <f>'借卡计算'!I28</f>
      </c>
      <c r="J7" s="1" t="str"/>
      <c r="K7" s="91">
        <f>'借卡计算'!K28</f>
      </c>
      <c r="O7" s="1">
        <f>'借卡计算'!O28</f>
      </c>
      <c r="P7" s="1" t="str"/>
      <c r="Q7" s="89">
        <f>'借卡计算'!Q28</f>
      </c>
      <c r="R7" s="89"/>
      <c r="S7" s="89"/>
      <c r="T7" s="89"/>
      <c r="U7" s="3">
        <f>'借卡计算'!U28</f>
      </c>
      <c r="V7" s="3"/>
      <c r="W7" s="89">
        <f>'借卡计算'!W28</f>
      </c>
      <c r="X7" s="89"/>
      <c r="Y7" s="89"/>
      <c r="Z7" s="89"/>
      <c r="AA7" s="3">
        <f>'借卡计算'!AA28</f>
      </c>
      <c r="AB7" s="4"/>
      <c r="AC7" s="72">
        <f>'借卡计算'!AC28</f>
      </c>
      <c r="AD7" s="72"/>
      <c r="AE7" s="72"/>
      <c r="AF7" s="72"/>
      <c r="AG7" s="77">
        <f>'借卡计算'!AG28</f>
      </c>
      <c r="AH7" s="4"/>
      <c r="AI7" s="41" t="str">
        <v>营业</v>
      </c>
      <c r="AJ7" s="41"/>
      <c r="AK7" s="16">
        <v>0</v>
      </c>
      <c r="AL7" s="16">
        <v>0</v>
      </c>
      <c r="AM7" s="78">
        <v>7</v>
      </c>
      <c r="AN7" s="4"/>
    </row>
    <row customHeight="true" ht="16" r="8">
      <c r="Q8" s="4"/>
      <c r="R8" s="4"/>
      <c r="S8" s="4"/>
      <c r="T8" s="4"/>
      <c r="U8" s="4"/>
      <c r="V8" s="4"/>
      <c r="W8" s="4"/>
      <c r="X8" s="4"/>
      <c r="Y8" s="4"/>
      <c r="Z8" s="4"/>
      <c r="AA8" s="4"/>
      <c r="AB8" s="4"/>
      <c r="AC8" s="4"/>
      <c r="AD8" s="4"/>
      <c r="AE8" s="4"/>
      <c r="AF8" s="4"/>
      <c r="AG8" s="4"/>
      <c r="AH8" s="4"/>
      <c r="AI8" s="48" t="str">
        <v>挑战道具加成比例</v>
      </c>
      <c r="AJ8" s="48"/>
      <c r="AK8" s="41">
        <v>40</v>
      </c>
      <c r="AL8" s="41"/>
      <c r="AM8" s="41"/>
      <c r="AN8" s="4"/>
    </row>
    <row customHeight="true" ht="17" r="9">
      <c r="D9" s="1" t="str">
        <v>NIA</v>
      </c>
      <c r="I9" s="1" t="str">
        <v>NIA master</v>
      </c>
      <c r="Q9" s="64">
        <f>IF(B1=B2,"请输入不同的第一第二属性","")</f>
      </c>
      <c r="R9" s="64"/>
      <c r="S9" s="64"/>
      <c r="T9" s="64"/>
      <c r="U9" s="64"/>
      <c r="V9" s="4"/>
      <c r="W9" s="4"/>
      <c r="X9" s="4"/>
      <c r="Y9" s="4"/>
      <c r="Z9" s="4"/>
      <c r="AA9" s="4"/>
      <c r="AB9" s="4"/>
      <c r="AC9" s="4"/>
      <c r="AD9" s="4"/>
      <c r="AE9" s="4"/>
      <c r="AF9" s="4"/>
      <c r="AG9" s="4"/>
      <c r="AH9" s="4"/>
      <c r="AI9" s="56" t="str">
        <v>1周SP</v>
      </c>
      <c r="AJ9" s="54">
        <v>100</v>
      </c>
      <c r="AK9" s="55">
        <v>1</v>
      </c>
      <c r="AL9" s="53">
        <v>0</v>
      </c>
      <c r="AM9" s="57">
        <v>0</v>
      </c>
      <c r="AN9" s="4"/>
    </row>
    <row customHeight="true" ht="16" r="10">
      <c r="A10" s="66" t="str"/>
      <c r="B10" s="1" t="str">
        <v>路线选择</v>
      </c>
      <c r="D10" s="66" t="str">
        <v>NIA通常</v>
      </c>
      <c r="E10" s="1" t="str">
        <v>NIA强化</v>
      </c>
      <c r="F10" s="1" t="str">
        <v>NIA购物</v>
      </c>
      <c r="G10" s="1" t="str">
        <v>自定义</v>
      </c>
      <c r="I10" s="1" t="str">
        <v>mas支给</v>
      </c>
      <c r="J10" s="1" t="str">
        <v>mas外出</v>
      </c>
      <c r="K10" s="1" t="str">
        <v>mas购物</v>
      </c>
      <c r="L10" s="1" t="str">
        <v>mas买卡</v>
      </c>
      <c r="M10" s="1" t="str">
        <v>mas删卡</v>
      </c>
      <c r="N10" s="67" t="str">
        <v>mas外出强化</v>
      </c>
      <c r="Q10" s="64"/>
      <c r="R10" s="64"/>
      <c r="S10" s="64"/>
      <c r="T10" s="64"/>
      <c r="U10" s="64"/>
      <c r="V10" s="4"/>
      <c r="W10" s="4"/>
      <c r="X10" s="4"/>
      <c r="Y10" s="4"/>
      <c r="Z10" s="4"/>
      <c r="AA10" s="4"/>
      <c r="AB10" s="4"/>
      <c r="AC10" s="4"/>
      <c r="AD10" s="4"/>
      <c r="AE10" s="4"/>
      <c r="AF10" s="4"/>
      <c r="AG10" s="4"/>
      <c r="AH10" s="4"/>
      <c r="AI10" s="56" t="str">
        <v>2周营业</v>
      </c>
      <c r="AJ10" s="54">
        <v>80</v>
      </c>
      <c r="AK10" s="55">
        <v>0</v>
      </c>
      <c r="AL10" s="53">
        <v>1</v>
      </c>
      <c r="AM10" s="57">
        <v>0</v>
      </c>
      <c r="AN10" s="4"/>
    </row>
    <row customHeight="true" ht="16" r="11">
      <c r="A11" t="str">
        <v>一属性值</v>
      </c>
      <c r="B11" s="1">
        <f>IF($B$5="单极",850,900)</f>
      </c>
      <c r="D11">
        <v>850</v>
      </c>
      <c r="E11" s="1">
        <v>850</v>
      </c>
      <c r="F11">
        <v>850</v>
      </c>
      <c r="G11">
        <v>850</v>
      </c>
      <c r="I11" s="1">
        <f>IF($B$5="单极",850,900)</f>
      </c>
      <c r="J11" s="1">
        <f>IF($B$5="单极",850,900)</f>
      </c>
      <c r="K11" s="1">
        <f>IF($B$5="单极",850,900)</f>
      </c>
      <c r="L11" s="1">
        <f>IF($B$5="单极",850,900)</f>
      </c>
      <c r="M11" s="1">
        <f>IF($B$5="单极",850,900)</f>
      </c>
      <c r="N11" s="1">
        <f>IF($B$5="单极",850,900)</f>
      </c>
      <c r="Q11" s="4"/>
      <c r="R11" s="4"/>
      <c r="S11" s="4"/>
      <c r="T11" s="4"/>
      <c r="U11" s="4"/>
      <c r="V11" s="4"/>
      <c r="W11" s="4"/>
      <c r="X11" s="4"/>
      <c r="Y11" s="4"/>
      <c r="Z11" s="4"/>
      <c r="AA11" s="4"/>
      <c r="AB11" s="4"/>
      <c r="AC11" s="4"/>
      <c r="AD11" s="4"/>
      <c r="AE11" s="4"/>
      <c r="AF11" s="4"/>
      <c r="AG11" s="4"/>
      <c r="AH11" s="4"/>
      <c r="AI11" s="56" t="str">
        <v>4周SP</v>
      </c>
      <c r="AJ11" s="54">
        <v>100</v>
      </c>
      <c r="AK11" s="55">
        <v>1</v>
      </c>
      <c r="AL11" s="53">
        <v>0</v>
      </c>
      <c r="AM11" s="57">
        <v>0</v>
      </c>
      <c r="AN11" s="4"/>
    </row>
    <row customHeight="true" ht="16" r="12">
      <c r="A12" t="str">
        <v>二属性值</v>
      </c>
      <c r="B12" s="1">
        <f>IF($B$5="单极",800,680)</f>
      </c>
      <c r="D12">
        <v>850</v>
      </c>
      <c r="E12" s="1">
        <v>850</v>
      </c>
      <c r="F12">
        <v>850</v>
      </c>
      <c r="G12">
        <v>850</v>
      </c>
      <c r="I12" s="1">
        <f>IF($B$5="单极",800,680)</f>
      </c>
      <c r="J12" s="1">
        <f>IF($B$5="单极",800,680)</f>
      </c>
      <c r="K12" s="1">
        <f>IF($B$5="单极",800,680)</f>
      </c>
      <c r="L12" s="1">
        <f>IF($B$5="单极",800,680)</f>
      </c>
      <c r="M12" s="1">
        <f>IF($B$5="单极",800,680)</f>
      </c>
      <c r="N12" s="1">
        <f>IF($B$5="单极",800,680)</f>
      </c>
      <c r="Q12" s="4"/>
      <c r="R12" s="4"/>
      <c r="S12" s="4"/>
      <c r="T12" s="4"/>
      <c r="U12" s="4"/>
      <c r="V12" s="4"/>
      <c r="W12" s="4"/>
      <c r="X12" s="4"/>
      <c r="Y12" s="4"/>
      <c r="Z12" s="4"/>
      <c r="AA12" s="4"/>
      <c r="AB12" s="4"/>
      <c r="AC12" s="4"/>
      <c r="AD12" s="4"/>
      <c r="AE12" s="4"/>
      <c r="AF12" s="4"/>
      <c r="AG12" s="4"/>
      <c r="AH12" s="4"/>
      <c r="AI12" s="56" t="str">
        <v>5周营业</v>
      </c>
      <c r="AJ12" s="54">
        <v>80</v>
      </c>
      <c r="AK12" s="55">
        <v>0</v>
      </c>
      <c r="AL12" s="53">
        <v>1</v>
      </c>
      <c r="AM12" s="57">
        <v>0</v>
      </c>
      <c r="AN12" s="4"/>
    </row>
    <row customHeight="true" ht="16" r="13">
      <c r="A13" t="str">
        <v>三属性值</v>
      </c>
      <c r="B13" s="1">
        <f>IF($B$5="单极",190,250)</f>
      </c>
      <c r="D13">
        <v>250</v>
      </c>
      <c r="E13" s="1">
        <v>250</v>
      </c>
      <c r="F13">
        <v>250</v>
      </c>
      <c r="G13">
        <v>250</v>
      </c>
      <c r="I13" s="1">
        <f>IF($B$5="单极",190,250)</f>
      </c>
      <c r="J13" s="1">
        <f>IF($B$5="单极",190,250)</f>
      </c>
      <c r="K13" s="1">
        <f>IF($B$5="单极",190,250)</f>
      </c>
      <c r="L13" s="1">
        <f>IF($B$5="单极",190,250)</f>
      </c>
      <c r="M13" s="1">
        <f>IF($B$5="单极",190,250)</f>
      </c>
      <c r="N13" s="1">
        <f>IF($B$5="单极",190,250)</f>
      </c>
      <c r="Q13" s="4"/>
      <c r="R13" s="4"/>
      <c r="S13" s="4"/>
      <c r="T13" s="4"/>
      <c r="U13" s="4"/>
      <c r="V13" s="4"/>
      <c r="W13" s="4"/>
      <c r="X13" s="4"/>
      <c r="Y13" s="4"/>
      <c r="Z13" s="4"/>
      <c r="AA13" s="4"/>
      <c r="AB13" s="4"/>
      <c r="AC13" s="4"/>
      <c r="AD13" s="4"/>
      <c r="AE13" s="4"/>
      <c r="AF13" s="4"/>
      <c r="AG13" s="4"/>
      <c r="AH13" s="4"/>
      <c r="AI13" s="56" t="str">
        <v>7周营业</v>
      </c>
      <c r="AJ13" s="54">
        <v>80</v>
      </c>
      <c r="AK13" s="55">
        <v>0</v>
      </c>
      <c r="AL13" s="53">
        <v>1</v>
      </c>
      <c r="AM13" s="57">
        <v>0</v>
      </c>
      <c r="AN13" s="4"/>
    </row>
    <row customHeight="true" ht="16" r="14">
      <c r="A14" t="str">
        <v>一属训练</v>
      </c>
      <c r="B14" s="1">
        <f>IF($B$5="单极",3,4)</f>
      </c>
      <c r="D14">
        <v>4</v>
      </c>
      <c r="E14" s="1">
        <v>4</v>
      </c>
      <c r="F14">
        <v>4</v>
      </c>
      <c r="G14">
        <v>4</v>
      </c>
      <c r="I14" s="1">
        <f>IF($B$5="单极",3,4)</f>
      </c>
      <c r="J14" s="1">
        <f>IF($B$5="单极",3,4)</f>
      </c>
      <c r="K14" s="1">
        <f>IF($B$5="单极",3,4)</f>
      </c>
      <c r="L14" s="1">
        <f>IF($B$5="单极",3,4)</f>
      </c>
      <c r="M14" s="1">
        <f>IF($B$5="单极",3,4)</f>
      </c>
      <c r="N14" s="1">
        <f>IF($B$5="单极",3,4)</f>
      </c>
      <c r="Q14" s="4"/>
      <c r="R14" s="4"/>
      <c r="S14" s="4"/>
      <c r="T14" s="4"/>
      <c r="U14" s="4"/>
      <c r="V14" s="4"/>
      <c r="W14" s="4"/>
      <c r="X14" s="4"/>
      <c r="Y14" s="4"/>
      <c r="Z14" s="4"/>
      <c r="AA14" s="4"/>
      <c r="AB14" s="4"/>
      <c r="AC14" s="4"/>
      <c r="AD14" s="49" t="str">
        <v>试镜属性根据所选的第一、第二属性和审查类型计算→</v>
      </c>
      <c r="AE14" s="49"/>
      <c r="AF14" s="49"/>
      <c r="AG14" s="49"/>
      <c r="AH14" s="49"/>
      <c r="AI14" s="41" t="str">
        <v>一镜基础属性</v>
      </c>
      <c r="AJ14" s="41"/>
      <c r="AK14" s="50">
        <f>ROUNDUP(IF(B5="均衡",IF(B1="红",IF(AK15&lt;=1116,0.04766*AK15,IF(AK15&gt;=4124,92,0.0129*AK15+38.8)),IF(B2="红",IF(AK15&lt;=530,0.08314*AK15,IF(AK15&gt;=1917,76,0.023*AK15+31.9)),IF(AK15&lt;=323,0.11232*AK15,IF(AK15&gt;=1107,62,0.0328*AK15+25.7)))),IF(B1="红",IF(AK15&lt;=1577,0.04553*AK15,IF(AK15&gt;=4103,116,0.0175*AK15+44.2)),IF(B2="红",IF(AK15&lt;=542,0.07405*AK15,IF(AK15&gt;=1914,69,0.021*AK15+28.8)),IF(AK15&lt;=618,0.05239*AK15,IF(AK15&gt;=1066,46,0.0304*AK15+13.6))))),0)</f>
      </c>
      <c r="AL14" s="51">
        <f>ROUNDUP(IF(B5="均衡",IF(B1="蓝",IF(AL15&lt;=1116,0.04766*AL15,IF(AL15&gt;=4124,92,0.0129*AL15+38.8)),IF(B2="蓝",IF(AL15&lt;=530,0.08314*AL15,IF(AL15&gt;=1917,76,0.023*AL15+31.9)),IF(AL15&lt;=323,0.11232*AL15,IF(AL15&gt;=1107,62,0.0328*AL15+25.7)))),IF(B1="蓝",IF(AL15&lt;=1577,0.04553*AL15,IF(AL15&gt;=4103,116,0.0175*AL15+44.2)),IF(B2="蓝",IF(AL15&lt;=542,0.07405*AL15,IF(AL15&gt;=1914,69,0.021*AL15+28.8)),IF(AL15&lt;=618,0.05239*AL15,IF(AL15&gt;=1066,46,0.0304*AL15+13.6))))),0)</f>
      </c>
      <c r="AM14" s="52">
        <f>ROUNDUP(IF(B5="均衡",IF(B1="黄",IF(AM15&lt;=1116,0.04766*AM15,IF(AM15&gt;=4124,92,0.0129*AM15+38.8)),IF(B2="黄",IF(AM15&lt;=530,0.08314*AM15,IF(AM15&gt;=1917,76,0.023*AM15+31.9)),IF(AM15&lt;=323,0.11232*AM15,IF(AM15&gt;=1107,62,0.0328*AM15+25.7)))),IF(B1="黄",IF(AM15&lt;=1577,0.04553*AM15,IF(AM15&gt;=4103,116,0.0175*AM15+44.2)),IF(B2="黄",IF(AM15&lt;=542,0.07405*AM15,IF(AM15&gt;=1914,69,0.021*AM15+28.8)),IF(AM15&lt;=618,0.05239*AM15,IF(AM15&gt;=1066,46,0.0304*AM15+13.6))))),0)</f>
      </c>
      <c r="AN14" s="4"/>
    </row>
    <row customHeight="true" ht="16" r="15">
      <c r="A15" t="str">
        <v>一属sp</v>
      </c>
      <c r="B15" s="1">
        <f>IF($B$5="单极",3,4)</f>
      </c>
      <c r="D15">
        <v>4</v>
      </c>
      <c r="E15" s="1">
        <v>4</v>
      </c>
      <c r="F15">
        <v>4</v>
      </c>
      <c r="G15">
        <v>4</v>
      </c>
      <c r="I15" s="1">
        <f>IF($B$5="单极",3,4)</f>
      </c>
      <c r="J15" s="1">
        <f>IF($B$5="单极",3,4)</f>
      </c>
      <c r="K15" s="1">
        <f>IF($B$5="单极",3,4)</f>
      </c>
      <c r="L15" s="1">
        <f>IF($B$5="单极",3,4)</f>
      </c>
      <c r="M15" s="1">
        <f>IF($B$5="单极",3,4)</f>
      </c>
      <c r="N15" s="1">
        <f>IF($B$5="单极",3,4)</f>
      </c>
      <c r="Q15" s="4"/>
      <c r="R15" s="4"/>
      <c r="S15" s="4"/>
      <c r="T15" s="4"/>
      <c r="U15" s="4"/>
      <c r="V15" s="4"/>
      <c r="W15" s="4"/>
      <c r="X15" s="4"/>
      <c r="Y15" s="4"/>
      <c r="Z15" s="4"/>
      <c r="AA15" s="4"/>
      <c r="AB15" s="4"/>
      <c r="AC15" s="4"/>
      <c r="AD15" s="4"/>
      <c r="AE15" s="4"/>
      <c r="AF15" s="4"/>
      <c r="AG15" s="4"/>
      <c r="AH15" s="4"/>
      <c r="AI15" s="41" t="str">
        <v>打分</v>
      </c>
      <c r="AJ15" s="41"/>
      <c r="AK15" s="48">
        <v>3689</v>
      </c>
      <c r="AL15" s="16">
        <v>2823</v>
      </c>
      <c r="AM15" s="47">
        <v>3626</v>
      </c>
      <c r="AN15" s="4"/>
    </row>
    <row customHeight="true" ht="16" r="16">
      <c r="A16" t="str">
        <v>一属通常</v>
      </c>
      <c r="B16" s="1">
        <v>0</v>
      </c>
      <c r="D16">
        <v>0</v>
      </c>
      <c r="E16" s="1">
        <v>0</v>
      </c>
      <c r="F16">
        <v>0</v>
      </c>
      <c r="G16">
        <v>0</v>
      </c>
      <c r="I16" s="1">
        <v>0</v>
      </c>
      <c r="J16" s="1">
        <v>0</v>
      </c>
      <c r="K16" s="1">
        <v>0</v>
      </c>
      <c r="L16" s="1">
        <v>0</v>
      </c>
      <c r="M16" s="1">
        <v>0</v>
      </c>
      <c r="N16" s="1">
        <v>0</v>
      </c>
      <c r="Q16" s="4"/>
      <c r="R16" s="4"/>
      <c r="S16" s="4"/>
      <c r="T16" s="4"/>
      <c r="U16" s="4"/>
      <c r="V16" s="4"/>
      <c r="W16" s="4"/>
      <c r="X16" s="4"/>
      <c r="Y16" s="4"/>
      <c r="Z16" s="4"/>
      <c r="AA16" s="4"/>
      <c r="AB16" s="4"/>
      <c r="AC16" s="4"/>
      <c r="AD16" s="4"/>
      <c r="AE16" s="4"/>
      <c r="AF16" s="4"/>
      <c r="AG16" s="4"/>
      <c r="AH16" s="4"/>
      <c r="AI16" s="41" t="str">
        <v>结算属性</v>
      </c>
      <c r="AJ16" s="41"/>
      <c r="AK16" s="69">
        <f>AK14+INT(AK14*AK4/100)+INT(AK14*AK8/100)</f>
      </c>
      <c r="AL16" s="68">
        <f>AL14+INT(AL14*AL4/100)+INT(AL14*AK8/100)</f>
      </c>
      <c r="AM16" s="70">
        <f>AM14+INT(AM14*AM4/100)+INT(AM14*AK8/100)</f>
      </c>
      <c r="AN16" s="4"/>
    </row>
    <row customHeight="true" ht="16" r="17">
      <c r="A17" t="str">
        <v>二属训练</v>
      </c>
      <c r="B17" s="1">
        <f>IF($B$5="单极",4,3)</f>
      </c>
      <c r="D17">
        <v>4</v>
      </c>
      <c r="E17" s="1">
        <v>4</v>
      </c>
      <c r="F17">
        <v>4</v>
      </c>
      <c r="G17">
        <v>4</v>
      </c>
      <c r="I17" s="1">
        <f>IF($B$5="单极",4,3)</f>
      </c>
      <c r="J17" s="1">
        <f>IF($B$5="单极",4,3)</f>
      </c>
      <c r="K17" s="1">
        <f>IF($B$5="单极",4,3)</f>
      </c>
      <c r="L17" s="1">
        <f>IF($B$5="单极",4,3)</f>
      </c>
      <c r="M17" s="1">
        <f>IF($B$5="单极",4,3)</f>
      </c>
      <c r="N17" s="1">
        <f>IF($B$5="单极",4,3)</f>
      </c>
      <c r="Q17" s="4"/>
      <c r="R17" s="4"/>
      <c r="S17" s="4"/>
      <c r="T17" s="4"/>
      <c r="U17" s="4"/>
      <c r="V17" s="4"/>
      <c r="W17" s="4"/>
      <c r="X17" s="4"/>
      <c r="Y17" s="4"/>
      <c r="Z17" s="4"/>
      <c r="AA17" s="4"/>
      <c r="AB17" s="4"/>
      <c r="AC17" s="4"/>
      <c r="AD17" s="4"/>
      <c r="AE17" s="4"/>
      <c r="AF17" s="4"/>
      <c r="AG17" s="4"/>
      <c r="AH17" s="4"/>
      <c r="AI17" s="56" t="str">
        <v>11周SP</v>
      </c>
      <c r="AJ17" s="54">
        <v>120</v>
      </c>
      <c r="AK17" s="102">
        <v>0</v>
      </c>
      <c r="AL17" s="103">
        <v>0</v>
      </c>
      <c r="AM17" s="104">
        <v>1</v>
      </c>
      <c r="AN17" s="4"/>
    </row>
    <row customHeight="true" ht="16" r="18">
      <c r="A18" t="str">
        <v>二属sp</v>
      </c>
      <c r="B18" s="1">
        <f>IF($B$5="单极",4,3)</f>
      </c>
      <c r="D18">
        <v>4</v>
      </c>
      <c r="E18" s="1">
        <v>4</v>
      </c>
      <c r="F18">
        <v>4</v>
      </c>
      <c r="G18">
        <v>4</v>
      </c>
      <c r="I18" s="1">
        <f>IF($B$5="单极",4,3)</f>
      </c>
      <c r="J18" s="1">
        <f>IF($B$5="单极",4,3)</f>
      </c>
      <c r="K18" s="1">
        <f>IF($B$5="单极",4,3)</f>
      </c>
      <c r="L18" s="1">
        <f>IF($B$5="单极",4,3)</f>
      </c>
      <c r="M18" s="1">
        <f>IF($B$5="单极",4,3)</f>
      </c>
      <c r="N18" s="1">
        <f>IF($B$5="单极",4,3)</f>
      </c>
      <c r="Q18" s="4"/>
      <c r="R18" s="4"/>
      <c r="S18" s="4"/>
      <c r="T18" s="4"/>
      <c r="U18" s="4"/>
      <c r="V18" s="4"/>
      <c r="W18" s="4"/>
      <c r="X18" s="4"/>
      <c r="Y18" s="4"/>
      <c r="Z18" s="4"/>
      <c r="AA18" s="4"/>
      <c r="AB18" s="4"/>
      <c r="AC18" s="4"/>
      <c r="AD18" s="4"/>
      <c r="AE18" s="4"/>
      <c r="AF18" s="4"/>
      <c r="AG18" s="4"/>
      <c r="AH18" s="4"/>
      <c r="AI18" s="56" t="str">
        <v>12周营业</v>
      </c>
      <c r="AJ18" s="54">
        <v>110</v>
      </c>
      <c r="AK18" s="55">
        <v>0</v>
      </c>
      <c r="AL18" s="53">
        <v>1</v>
      </c>
      <c r="AM18" s="57">
        <v>0</v>
      </c>
      <c r="AN18" s="4"/>
    </row>
    <row customHeight="true" ht="16" r="19">
      <c r="A19" t="str">
        <v>二属通常</v>
      </c>
      <c r="B19" s="1">
        <v>0</v>
      </c>
      <c r="D19">
        <v>0</v>
      </c>
      <c r="E19" s="1">
        <v>0</v>
      </c>
      <c r="F19">
        <v>0</v>
      </c>
      <c r="G19">
        <v>0</v>
      </c>
      <c r="I19" s="1">
        <v>0</v>
      </c>
      <c r="J19" s="1">
        <v>0</v>
      </c>
      <c r="K19" s="1">
        <v>0</v>
      </c>
      <c r="L19" s="1">
        <v>0</v>
      </c>
      <c r="M19" s="1">
        <v>0</v>
      </c>
      <c r="N19" s="1">
        <v>0</v>
      </c>
      <c r="Q19" s="4"/>
      <c r="R19" s="4"/>
      <c r="S19" s="4"/>
      <c r="T19" s="4"/>
      <c r="U19" s="4"/>
      <c r="V19" s="4"/>
      <c r="W19" s="4"/>
      <c r="X19" s="4"/>
      <c r="Y19" s="4"/>
      <c r="Z19" s="4"/>
      <c r="AA19" s="4"/>
      <c r="AB19" s="4"/>
      <c r="AC19" s="4"/>
      <c r="AD19" s="4"/>
      <c r="AE19" s="4"/>
      <c r="AF19" s="4"/>
      <c r="AG19" s="4"/>
      <c r="AH19" s="4"/>
      <c r="AI19" s="56" t="str">
        <v>14周SP</v>
      </c>
      <c r="AJ19" s="54">
        <v>120</v>
      </c>
      <c r="AK19" s="55">
        <v>0</v>
      </c>
      <c r="AL19" s="53">
        <v>0</v>
      </c>
      <c r="AM19" s="57">
        <v>1</v>
      </c>
      <c r="AN19" s="4"/>
    </row>
    <row customHeight="true" ht="16" r="20">
      <c r="A20" t="str">
        <v>三属训练</v>
      </c>
      <c r="B20" s="1">
        <v>0</v>
      </c>
      <c r="D20">
        <v>0</v>
      </c>
      <c r="E20" s="1">
        <v>0</v>
      </c>
      <c r="F20">
        <v>0</v>
      </c>
      <c r="G20">
        <v>0</v>
      </c>
      <c r="I20" s="1">
        <v>0</v>
      </c>
      <c r="J20" s="1">
        <v>0</v>
      </c>
      <c r="K20" s="1">
        <v>0</v>
      </c>
      <c r="L20" s="1">
        <v>0</v>
      </c>
      <c r="M20" s="1">
        <v>0</v>
      </c>
      <c r="N20" s="1">
        <v>0</v>
      </c>
      <c r="Q20" s="4"/>
      <c r="R20" s="4"/>
      <c r="S20" s="4"/>
      <c r="T20" s="4"/>
      <c r="U20" s="4"/>
      <c r="V20" s="4"/>
      <c r="W20" s="4"/>
      <c r="X20" s="4"/>
      <c r="Y20" s="4"/>
      <c r="Z20" s="4"/>
      <c r="AA20" s="4"/>
      <c r="AB20" s="4"/>
      <c r="AC20" s="4"/>
      <c r="AD20" s="4"/>
      <c r="AE20" s="4"/>
      <c r="AF20" s="4"/>
      <c r="AG20" s="4"/>
      <c r="AH20" s="4"/>
      <c r="AI20" s="56" t="str">
        <v>15周营业</v>
      </c>
      <c r="AJ20" s="54">
        <v>110</v>
      </c>
      <c r="AK20" s="55">
        <v>0</v>
      </c>
      <c r="AL20" s="53">
        <v>1</v>
      </c>
      <c r="AM20" s="57">
        <v>0</v>
      </c>
      <c r="AN20" s="4"/>
    </row>
    <row customHeight="true" ht="16" r="21">
      <c r="A21" t="str">
        <v>三属sp</v>
      </c>
      <c r="B21" s="1">
        <v>0</v>
      </c>
      <c r="D21">
        <v>0</v>
      </c>
      <c r="E21" s="1">
        <v>0</v>
      </c>
      <c r="F21">
        <v>0</v>
      </c>
      <c r="G21">
        <v>0</v>
      </c>
      <c r="I21" s="1">
        <v>0</v>
      </c>
      <c r="J21" s="1">
        <v>0</v>
      </c>
      <c r="K21" s="1">
        <v>0</v>
      </c>
      <c r="L21" s="1">
        <v>0</v>
      </c>
      <c r="M21" s="1">
        <v>0</v>
      </c>
      <c r="N21" s="1">
        <v>0</v>
      </c>
      <c r="Q21" s="4"/>
      <c r="R21" s="4"/>
      <c r="S21" s="4"/>
      <c r="T21" s="4"/>
      <c r="U21" s="4"/>
      <c r="V21" s="4"/>
      <c r="W21" s="4"/>
      <c r="X21" s="4"/>
      <c r="Y21" s="4"/>
      <c r="Z21" s="4"/>
      <c r="AA21" s="4"/>
      <c r="AB21" s="4"/>
      <c r="AC21" s="4"/>
      <c r="AD21" s="4"/>
      <c r="AE21" s="4"/>
      <c r="AF21" s="4"/>
      <c r="AG21" s="4"/>
      <c r="AH21" s="4"/>
      <c r="AI21" s="41" t="str">
        <v>二镜基础属性</v>
      </c>
      <c r="AJ21" s="41"/>
      <c r="AK21" s="50">
        <f>ROUNDUP(IF(B5="均衡",IF(B1="红",IF(AK22&lt;=13245,0.005247*AK22,IF(AK22&gt;=46026,119,0.00151*AK22+49.5)),IF(B2="红",IF(AK22&lt;=6292,0.009123*AK22,IF(AK22&gt;=21498,98,0.00267*AK22+40.6)),IF(AK22&lt;=4060,0.01182*AK22,IF(AK22&gt;=12183,80,0.00394*AK22+32)))),IF(B1="红",IF(AK22&lt;=11521,0.007386*AK22,IF(AK22&gt;=46250,149,0.00184*AK22+63.9)),IF(B2="红",IF(AK22&lt;=4806,0.0104226*AK22,IF(AK22&gt;=21502,89,0.00233*AK22+38.9)),IF(AK22&lt;=3093,0.010926*AK22,IF(AK22&gt;=12158,59,0.00278*AK22+25.2))))),0)</f>
      </c>
      <c r="AL21" s="51">
        <f>ROUNDUP(IF(B5="均衡",IF(B1="蓝",IF(AL22&lt;=13245,0.005247*AL22,IF(AL22&gt;=46026,119,0.00151*AL22+49.5)),IF(B2="蓝",IF(AL22&lt;=6292,0.009123*AL22,IF(AL22&gt;=21498,98,0.00267*AL22+40.6)),IF(AL22&lt;=4060,0.01182*AL22,IF(AL22&gt;=12183,80,0.00394*AL22+32)))),IF(B1="蓝",IF(AL22&lt;=11521,0.007386*AL22,IF(AL22&gt;=46250,149,0.00184*AL22+63.9)),IF(B2="蓝",IF(AL22&lt;=4806,0.0104226*AL22,IF(AL22&gt;=21502,89,0.00233*AL22+38.9)),IF(AL22&lt;=3093,0.010926*AL22,IF(AL22&gt;=12158,59,0.00278*AL22+25.2))))),0)</f>
      </c>
      <c r="AM21" s="52">
        <f>ROUNDUP(IF(B5="均衡",IF(B1="黄",IF(AM22&lt;=13245,0.005247*AM22,IF(AM22&gt;=46026,119,0.00151*AM22+49.5)),IF(B2="黄",IF(AM22&lt;=6292,0.009123*AM22,IF(AM22&gt;=21498,98,0.00267*AM22+40.6)),IF(AM22&lt;=4060,0.01182*AM22,IF(AM22&gt;=12183,80,0.00394*AM22+32)))),IF(B1="黄",IF(AM22&lt;=11521,0.007386*AM22,IF(AM22&gt;=46250,149,0.00184*AM22+63.9)),IF(B2="黄",IF(AM22&lt;=4806,0.0104226*AM22,IF(AM22&gt;=21502,89,0.00233*AM22+38.9)),IF(AM22&lt;=3093,0.010926*AM22,IF(AM22&gt;=12158,59,0.00278*AM22+25.2))))),0)</f>
      </c>
      <c r="AN21" s="4"/>
    </row>
    <row customHeight="true" ht="16" r="22">
      <c r="A22" t="str">
        <v>三属通常</v>
      </c>
      <c r="B22" s="1">
        <v>0</v>
      </c>
      <c r="D22">
        <v>0</v>
      </c>
      <c r="E22" s="1">
        <v>0</v>
      </c>
      <c r="F22">
        <v>0</v>
      </c>
      <c r="G22">
        <v>0</v>
      </c>
      <c r="I22" s="1">
        <v>0</v>
      </c>
      <c r="J22" s="1">
        <v>0</v>
      </c>
      <c r="K22" s="1">
        <v>0</v>
      </c>
      <c r="L22" s="1">
        <v>0</v>
      </c>
      <c r="M22" s="1">
        <v>0</v>
      </c>
      <c r="N22" s="1">
        <v>0</v>
      </c>
      <c r="Q22" s="4"/>
      <c r="R22" s="4"/>
      <c r="S22" s="4"/>
      <c r="T22" s="4"/>
      <c r="U22" s="4"/>
      <c r="V22" s="4"/>
      <c r="W22" s="4"/>
      <c r="X22" s="4"/>
      <c r="Y22" s="4"/>
      <c r="Z22" s="4"/>
      <c r="AA22" s="4"/>
      <c r="AB22" s="4"/>
      <c r="AC22" s="4"/>
      <c r="AD22" s="4"/>
      <c r="AE22" s="4"/>
      <c r="AF22" s="4"/>
      <c r="AG22" s="4"/>
      <c r="AH22" s="4"/>
      <c r="AI22" s="41" t="str">
        <v>打分</v>
      </c>
      <c r="AJ22" s="41"/>
      <c r="AK22" s="48">
        <v>17701</v>
      </c>
      <c r="AL22" s="16">
        <v>18077</v>
      </c>
      <c r="AM22" s="47">
        <v>85615</v>
      </c>
      <c r="AN22" s="4"/>
    </row>
    <row customHeight="true" ht="16" r="23">
      <c r="A23" t="str">
        <v>抓a卡</v>
      </c>
      <c r="B23" s="1">
        <v>10</v>
      </c>
      <c r="D23">
        <v>4</v>
      </c>
      <c r="E23" s="1">
        <v>4</v>
      </c>
      <c r="F23">
        <v>4</v>
      </c>
      <c r="G23">
        <v>4</v>
      </c>
      <c r="I23" s="1">
        <v>8</v>
      </c>
      <c r="J23" s="1">
        <v>6</v>
      </c>
      <c r="K23" s="1">
        <v>8</v>
      </c>
      <c r="L23" s="1">
        <v>15</v>
      </c>
      <c r="M23" s="1">
        <v>10</v>
      </c>
      <c r="N23" s="1">
        <v>6</v>
      </c>
      <c r="Q23" s="4"/>
      <c r="R23" s="4"/>
      <c r="S23" s="4"/>
      <c r="T23" s="4"/>
      <c r="U23" s="4"/>
      <c r="V23" s="4"/>
      <c r="W23" s="4"/>
      <c r="X23" s="4"/>
      <c r="Y23" s="4"/>
      <c r="Z23" s="4"/>
      <c r="AA23" s="4"/>
      <c r="AB23" s="4"/>
      <c r="AC23" s="4"/>
      <c r="AD23" s="4"/>
      <c r="AE23" s="4"/>
      <c r="AF23" s="4"/>
      <c r="AG23" s="4"/>
      <c r="AH23" s="4"/>
      <c r="AI23" s="41" t="str">
        <v>结算属性</v>
      </c>
      <c r="AJ23" s="41"/>
      <c r="AK23" s="79">
        <f>AK21+INT(AK21*AK4/100)+INT(AK21*AK8/100)</f>
      </c>
      <c r="AL23" s="79">
        <f>AL21+INT(AL21*AL4/100)+INT(AL21*AK8/100)</f>
      </c>
      <c r="AM23" s="80">
        <f>AM21+INT(AM21*AM4/100)+INT(AM21*AK8/100)</f>
      </c>
      <c r="AN23" s="4"/>
    </row>
    <row customHeight="true" ht="16" r="24">
      <c r="A24" t="str">
        <v>抓m卡</v>
      </c>
      <c r="B24" s="1">
        <v>12</v>
      </c>
      <c r="D24">
        <v>8</v>
      </c>
      <c r="E24" s="1">
        <v>8</v>
      </c>
      <c r="F24">
        <v>8</v>
      </c>
      <c r="G24">
        <v>8</v>
      </c>
      <c r="I24" s="1">
        <v>16</v>
      </c>
      <c r="J24" s="1">
        <v>14</v>
      </c>
      <c r="K24" s="1">
        <v>16</v>
      </c>
      <c r="L24" s="1">
        <v>15</v>
      </c>
      <c r="M24" s="1">
        <v>12</v>
      </c>
      <c r="N24" s="1">
        <v>14</v>
      </c>
      <c r="Q24" s="4"/>
      <c r="R24" s="4"/>
      <c r="S24" s="4"/>
      <c r="T24" s="4"/>
      <c r="U24" s="4"/>
      <c r="V24" s="4"/>
      <c r="W24" s="4"/>
      <c r="X24" s="4"/>
      <c r="Y24" s="4"/>
      <c r="Z24" s="4"/>
      <c r="AA24" s="4"/>
      <c r="AB24" s="4"/>
      <c r="AC24" s="4"/>
      <c r="AD24" s="4"/>
      <c r="AE24" s="4"/>
      <c r="AF24" s="4"/>
      <c r="AG24" s="4"/>
      <c r="AH24" s="4"/>
      <c r="AI24" s="56" t="str">
        <v>19周SP</v>
      </c>
      <c r="AJ24" s="54">
        <v>150</v>
      </c>
      <c r="AK24" s="55">
        <v>0</v>
      </c>
      <c r="AL24" s="53">
        <v>0</v>
      </c>
      <c r="AM24" s="57">
        <v>1</v>
      </c>
      <c r="AN24" s="4"/>
    </row>
    <row customHeight="true" ht="16" r="25">
      <c r="A25" t="str">
        <v>抓好调卡</v>
      </c>
      <c r="B25" s="1">
        <v>12</v>
      </c>
      <c r="D25">
        <v>5</v>
      </c>
      <c r="E25" s="1">
        <v>5</v>
      </c>
      <c r="F25">
        <v>5</v>
      </c>
      <c r="G25">
        <v>5</v>
      </c>
      <c r="I25" s="1">
        <v>12</v>
      </c>
      <c r="J25" s="1">
        <v>10</v>
      </c>
      <c r="K25" s="1">
        <v>12</v>
      </c>
      <c r="L25" s="1">
        <v>14</v>
      </c>
      <c r="M25" s="1">
        <v>12</v>
      </c>
      <c r="N25" s="1">
        <v>10</v>
      </c>
      <c r="Q25" s="4"/>
      <c r="R25" s="4"/>
      <c r="S25" s="4"/>
      <c r="T25" s="4"/>
      <c r="U25" s="4"/>
      <c r="V25" s="4"/>
      <c r="W25" s="4"/>
      <c r="X25" s="4"/>
      <c r="Y25" s="4"/>
      <c r="Z25" s="4"/>
      <c r="AA25" s="4"/>
      <c r="AB25" s="4"/>
      <c r="AC25" s="4"/>
      <c r="AD25" s="4"/>
      <c r="AE25" s="4"/>
      <c r="AF25" s="4"/>
      <c r="AG25" s="4"/>
      <c r="AH25" s="4"/>
      <c r="AI25" s="56" t="str">
        <v>20周营业</v>
      </c>
      <c r="AJ25" s="54">
        <v>130</v>
      </c>
      <c r="AK25" s="55">
        <v>0</v>
      </c>
      <c r="AL25" s="53">
        <v>1</v>
      </c>
      <c r="AM25" s="57">
        <v>0</v>
      </c>
      <c r="AN25" s="4"/>
    </row>
    <row customHeight="true" ht="16" r="26">
      <c r="A26" t="str">
        <v>抓温存卡</v>
      </c>
      <c r="B26" s="1">
        <v>17</v>
      </c>
      <c r="D26">
        <v>7</v>
      </c>
      <c r="E26">
        <v>7</v>
      </c>
      <c r="F26">
        <v>7</v>
      </c>
      <c r="G26">
        <v>7</v>
      </c>
      <c r="I26" s="1">
        <v>17</v>
      </c>
      <c r="J26" s="1">
        <v>15</v>
      </c>
      <c r="K26" s="1">
        <v>17</v>
      </c>
      <c r="L26" s="1">
        <v>19</v>
      </c>
      <c r="M26" s="1">
        <v>17</v>
      </c>
      <c r="N26" s="1">
        <v>15</v>
      </c>
      <c r="Q26" s="4"/>
      <c r="R26" s="4"/>
      <c r="S26" s="4"/>
      <c r="T26" s="4"/>
      <c r="U26" s="4"/>
      <c r="V26" s="4"/>
      <c r="W26" s="4"/>
      <c r="X26" s="4"/>
      <c r="Y26" s="4"/>
      <c r="Z26" s="4"/>
      <c r="AA26" s="4"/>
      <c r="AB26" s="4"/>
      <c r="AC26" s="4"/>
      <c r="AD26" s="4"/>
      <c r="AE26" s="4"/>
      <c r="AF26" s="4"/>
      <c r="AG26" s="4"/>
      <c r="AH26" s="4"/>
      <c r="AI26" s="56" t="str">
        <v>22周SP</v>
      </c>
      <c r="AJ26" s="54">
        <v>150</v>
      </c>
      <c r="AK26" s="55">
        <v>1</v>
      </c>
      <c r="AL26" s="53">
        <v>0</v>
      </c>
      <c r="AM26" s="57">
        <v>0</v>
      </c>
      <c r="AN26" s="4"/>
    </row>
    <row customHeight="true" ht="16" r="27">
      <c r="A27" t="str">
        <v>抓好印象卡</v>
      </c>
      <c r="B27" s="1">
        <v>17</v>
      </c>
      <c r="D27">
        <v>9</v>
      </c>
      <c r="E27">
        <v>9</v>
      </c>
      <c r="F27">
        <v>9</v>
      </c>
      <c r="G27">
        <v>9</v>
      </c>
      <c r="I27" s="1">
        <v>17</v>
      </c>
      <c r="J27" s="1">
        <v>15</v>
      </c>
      <c r="K27" s="1">
        <v>17</v>
      </c>
      <c r="L27" s="1">
        <v>19</v>
      </c>
      <c r="M27" s="1">
        <v>17</v>
      </c>
      <c r="N27" s="1">
        <v>15</v>
      </c>
      <c r="Q27" s="4"/>
      <c r="R27" s="4"/>
      <c r="S27" s="4"/>
      <c r="T27" s="4"/>
      <c r="U27" s="4"/>
      <c r="V27" s="4"/>
      <c r="W27" s="4"/>
      <c r="X27" s="4"/>
      <c r="Y27" s="4"/>
      <c r="Z27" s="4"/>
      <c r="AA27" s="4"/>
      <c r="AB27" s="4"/>
      <c r="AC27" s="4"/>
      <c r="AD27" s="4"/>
      <c r="AE27" s="4"/>
      <c r="AF27" s="4"/>
      <c r="AG27" s="4"/>
      <c r="AH27" s="4"/>
      <c r="AI27" s="56" t="str">
        <v>23周营业</v>
      </c>
      <c r="AJ27" s="54">
        <v>130</v>
      </c>
      <c r="AK27" s="55">
        <v>0</v>
      </c>
      <c r="AL27" s="53">
        <v>1</v>
      </c>
      <c r="AM27" s="57">
        <v>0</v>
      </c>
      <c r="AN27" s="4"/>
    </row>
    <row customHeight="true" ht="16" r="28">
      <c r="A28" t="str">
        <v>a强化</v>
      </c>
      <c r="B28" s="1">
        <v>2</v>
      </c>
      <c r="D28">
        <v>1</v>
      </c>
      <c r="E28">
        <v>1</v>
      </c>
      <c r="F28">
        <v>1</v>
      </c>
      <c r="G28">
        <v>1</v>
      </c>
      <c r="I28" s="1">
        <v>2</v>
      </c>
      <c r="J28" s="1">
        <v>2</v>
      </c>
      <c r="K28" s="1">
        <v>2</v>
      </c>
      <c r="L28" s="1">
        <v>2</v>
      </c>
      <c r="M28" s="1">
        <v>2</v>
      </c>
      <c r="N28" s="1">
        <v>2</v>
      </c>
      <c r="Q28" s="4"/>
      <c r="R28" s="4"/>
      <c r="S28" s="4"/>
      <c r="T28" s="4"/>
      <c r="U28" s="4"/>
      <c r="V28" s="4"/>
      <c r="W28" s="4"/>
      <c r="X28" s="4"/>
      <c r="Y28" s="4"/>
      <c r="Z28" s="4"/>
      <c r="AA28" s="4"/>
      <c r="AB28" s="4"/>
      <c r="AC28" s="4"/>
      <c r="AD28" s="4"/>
      <c r="AE28" s="4"/>
      <c r="AF28" s="4"/>
      <c r="AG28" s="4"/>
      <c r="AH28" s="4"/>
      <c r="AI28" s="63" t="str">
        <v>24周SP</v>
      </c>
      <c r="AJ28" s="61">
        <v>150</v>
      </c>
      <c r="AK28" s="55">
        <v>1</v>
      </c>
      <c r="AL28" s="53">
        <v>0</v>
      </c>
      <c r="AM28" s="57">
        <v>0</v>
      </c>
      <c r="AN28" s="4"/>
    </row>
    <row customHeight="true" ht="16" r="29">
      <c r="A29" t="str">
        <v>m强化</v>
      </c>
      <c r="B29" s="1">
        <v>2</v>
      </c>
      <c r="D29">
        <v>3</v>
      </c>
      <c r="E29">
        <v>8</v>
      </c>
      <c r="F29">
        <v>2</v>
      </c>
      <c r="G29">
        <v>3</v>
      </c>
      <c r="I29" s="1">
        <v>2</v>
      </c>
      <c r="J29" s="1">
        <v>5</v>
      </c>
      <c r="K29" s="1">
        <v>2</v>
      </c>
      <c r="L29" s="1">
        <v>2</v>
      </c>
      <c r="M29" s="1">
        <v>2</v>
      </c>
      <c r="N29" s="1">
        <v>14</v>
      </c>
      <c r="Q29" s="4"/>
      <c r="R29" s="4"/>
      <c r="S29" s="4"/>
      <c r="T29" s="4"/>
      <c r="U29" s="4"/>
      <c r="V29" s="4"/>
      <c r="W29" s="4"/>
      <c r="X29" s="4"/>
      <c r="Y29" s="4"/>
      <c r="Z29" s="4"/>
      <c r="AA29" s="4"/>
      <c r="AB29" s="4"/>
      <c r="AC29" s="4"/>
      <c r="AD29" s="4"/>
      <c r="AE29" s="4"/>
      <c r="AF29" s="4"/>
      <c r="AG29" s="4"/>
      <c r="AH29" s="4"/>
      <c r="AI29" s="41" t="str">
        <v>三镜基础属性</v>
      </c>
      <c r="AJ29" s="41"/>
      <c r="AK29" s="50">
        <f>ROUNDUP(IF(B5="均衡",IF(B1="红",IF(AK30&lt;=35048,0.0028132*AK30,IF(AK30&gt;=137135,172,0.000719*AK30+73.4)),IF(B2="红",IF(AK30&lt;=14400,0.0055556*AK30,IF(AK30&gt;=64000,142,0.00125*AK30+62)),IF(AK30&lt;=10000,0.00672*AK30,IF(AK30&gt;=36522,116,0.00184*AK30+48.8)))),IF(B1="红",IF(AK30&lt;=38997,0.0032156*AK30,IF(AK30&gt;=136601,215,0.000918*AK30+89.6)),IF(B2="红",IF(AK30&lt;=18135,0.0041465*AK30,IF(AK30&gt;=63729,129,0.00118*AK30+53.8)),IF(AK30&lt;=9927,0.0050166*AK30,IF(AK30&gt;=36350,86,0.00137*AK30+36.2))))),0)</f>
      </c>
      <c r="AL29" s="51">
        <f>ROUNDUP(IF(B5="均衡",IF(B1="蓝",IF(AL30&lt;=35048,0.0028132*AL30,IF(AL30&gt;=137135,172,0.000719*AL30+73.4)),IF(B2="蓝",IF(AL30&lt;=14400,0.0055556*AL30,IF(AL30&gt;=64000,142,0.00125*AL30+62)),IF(AL30&lt;=10000,0.00672*AL30,IF(AL30&gt;=36522,116,0.00184*AL30+48.8)))),IF(B1="蓝",IF(AL30&lt;=38997,0.0032156*AL30,IF(AL30&gt;=136601,215,0.000918*AL30+89.6)),IF(B2="蓝",IF(AL30&lt;=18135,0.0041465*AL30,IF(AL30&gt;=63729,129,0.00118*AL30+53.8)),IF(AL30&lt;=9927,0.0050166*AL30,IF(AL30&gt;=36350,86,0.00137*AL30+36.2))))),0)</f>
      </c>
      <c r="AM29" s="52">
        <f>ROUNDUP(IF(B5="均衡",IF(B1="黄",IF(AM30&lt;=35048,0.0028132*AM30,IF(AM30&gt;=137135,172,0.000719*AM30+73.4)),IF(B2="黄",IF(AM30&lt;=14400,0.0055556*AM30,IF(AM30&gt;=64000,142,0.00125*AM30+62)),IF(AM30&lt;=10000,0.00672*AM30,IF(AM30&gt;=36522,116,0.00184*AM30+48.8)))),IF(B1="黄",IF(AM30&lt;=38997,0.0032156*AM30,IF(AM30&gt;=136601,215,0.000918*AM30+89.6)),IF(B2="黄",IF(AM30&lt;=18135,0.0041465*AM30,IF(AM30&gt;=63729,129,0.00118*AM30+53.8)),IF(AM30&lt;=9927,0.0050166*AM30,IF(AM30&gt;=36350,86,0.00137*AM30+36.2))))),0)</f>
      </c>
      <c r="AN29" s="4"/>
    </row>
    <row customHeight="true" ht="16" r="30">
      <c r="A30" t="str">
        <v>营业</v>
      </c>
      <c r="B30" s="1">
        <v>7</v>
      </c>
      <c r="D30">
        <v>7</v>
      </c>
      <c r="E30">
        <v>7</v>
      </c>
      <c r="F30">
        <v>7</v>
      </c>
      <c r="G30">
        <v>7</v>
      </c>
      <c r="I30" s="1">
        <v>7</v>
      </c>
      <c r="J30" s="1">
        <v>7</v>
      </c>
      <c r="K30" s="1">
        <v>7</v>
      </c>
      <c r="L30" s="1">
        <v>7</v>
      </c>
      <c r="M30" s="1">
        <v>7</v>
      </c>
      <c r="N30" s="1">
        <v>7</v>
      </c>
      <c r="Q30" s="4"/>
      <c r="R30" s="4"/>
      <c r="S30" s="4"/>
      <c r="T30" s="4"/>
      <c r="U30" s="4"/>
      <c r="V30" s="4"/>
      <c r="W30" s="4"/>
      <c r="X30" s="4"/>
      <c r="Y30" s="4"/>
      <c r="Z30" s="4"/>
      <c r="AA30" s="4"/>
      <c r="AB30" s="4"/>
      <c r="AC30" s="4"/>
      <c r="AD30" s="4"/>
      <c r="AE30" s="4"/>
      <c r="AF30" s="4"/>
      <c r="AG30" s="4"/>
      <c r="AH30" s="4"/>
      <c r="AI30" s="41" t="str">
        <v>打分</v>
      </c>
      <c r="AJ30" s="41"/>
      <c r="AK30" s="48">
        <v>73823</v>
      </c>
      <c r="AL30" s="16">
        <v>44056</v>
      </c>
      <c r="AM30" s="47">
        <v>297035</v>
      </c>
      <c r="AN30" s="4"/>
    </row>
    <row customHeight="true" ht="16" r="31">
      <c r="A31" t="str">
        <v>外出</v>
      </c>
      <c r="B31" s="1">
        <v>0</v>
      </c>
      <c r="D31">
        <v>5</v>
      </c>
      <c r="E31">
        <v>5</v>
      </c>
      <c r="F31">
        <v>2</v>
      </c>
      <c r="G31">
        <v>5</v>
      </c>
      <c r="I31" s="1">
        <v>1</v>
      </c>
      <c r="J31" s="1">
        <v>5</v>
      </c>
      <c r="K31" s="1">
        <v>1</v>
      </c>
      <c r="L31" s="1">
        <v>0</v>
      </c>
      <c r="M31" s="1">
        <v>0</v>
      </c>
      <c r="N31" s="1">
        <v>5</v>
      </c>
      <c r="Q31" s="4"/>
      <c r="R31" s="4"/>
      <c r="S31" s="4"/>
      <c r="T31" s="4"/>
      <c r="U31" s="4"/>
      <c r="V31" s="4"/>
      <c r="W31" s="4"/>
      <c r="X31" s="4"/>
      <c r="Y31" s="4"/>
      <c r="Z31" s="4"/>
      <c r="AA31" s="4"/>
      <c r="AB31" s="4"/>
      <c r="AC31" s="4"/>
      <c r="AD31" s="4"/>
      <c r="AE31" s="4"/>
      <c r="AF31" s="4"/>
      <c r="AG31" s="4"/>
      <c r="AH31" s="4"/>
      <c r="AI31" s="65" t="str">
        <v>结算属性</v>
      </c>
      <c r="AJ31" s="65"/>
      <c r="AK31" s="88">
        <f>AK29+INT(AK29*AK4/100)+INT(AK29*AK8/100)</f>
      </c>
      <c r="AL31" s="79">
        <f>AL29+INT(AL29*AL4/100)+INT(AL29*AK8/100)</f>
      </c>
      <c r="AM31" s="80">
        <f>AM29+INT(AM29*AM4/100)+INT(AM29*AK8/100)</f>
      </c>
      <c r="AN31" s="4"/>
    </row>
    <row customHeight="true" ht="16" r="32">
      <c r="A32" t="str">
        <v>休息</v>
      </c>
      <c r="B32" s="1">
        <v>2</v>
      </c>
      <c r="D32">
        <v>0</v>
      </c>
      <c r="E32">
        <v>0</v>
      </c>
      <c r="F32">
        <v>0</v>
      </c>
      <c r="G32">
        <v>0</v>
      </c>
      <c r="I32" s="1">
        <v>0</v>
      </c>
      <c r="J32" s="1">
        <v>0</v>
      </c>
      <c r="K32" s="1">
        <v>0</v>
      </c>
      <c r="L32" s="1">
        <v>2</v>
      </c>
      <c r="M32" s="1">
        <v>2</v>
      </c>
      <c r="N32" s="1">
        <v>0</v>
      </c>
      <c r="Q32" s="4"/>
      <c r="R32" s="4"/>
      <c r="S32" s="4"/>
      <c r="T32" s="4"/>
      <c r="U32" s="4"/>
      <c r="V32" s="4"/>
      <c r="W32" s="4"/>
      <c r="X32" s="4"/>
      <c r="Y32" s="4"/>
      <c r="Z32" s="4"/>
      <c r="AA32" s="4"/>
      <c r="AB32" s="4"/>
      <c r="AC32" s="4"/>
      <c r="AD32" s="4"/>
      <c r="AE32" s="4"/>
      <c r="AF32" s="4"/>
      <c r="AG32" s="41" t="str">
        <v>总和</v>
      </c>
      <c r="AH32" s="41">
        <f>AK32+AL32+AM32</f>
      </c>
      <c r="AI32" s="42" t="str">
        <v>最终属性</v>
      </c>
      <c r="AJ32" s="42"/>
      <c r="AK32" s="43">
        <f>AK3+AK16+AK23+AK31+INT(IF(AK9=1,AJ9*(1+AK4/100)+AK6,0))+INT(IF(AK11=1,AJ11*(1+AK4/100)+AK6,0))+INT(IF(AK17=1,AJ17*(1+AK4/100)+AK6,0))+INT(IF(AK19=1,AJ19*(1+AK4/100)+AK6,0))+INT(IF(AK24=1,AJ24*(1+AK4/100)+AK6,0))+INT(IF(AK26=1,AJ26*(1+AK4/100)+AK6,0))+INT(IF(AK28=1,AJ28*(1+AK4/100)+AK6,0))+IF(AK10=1,AJ10,0)+IF(AK12=1,AJ12,0)+IF(AK13=1,AJ13,0)+IF(AK18=1,AJ18,0)+IF(AK20=1,AJ20,0)+IF(AK25=1,AJ25,0)+IF(AK27=1,AJ27,0)+AK7*B30+AK34*B23+AK35*B24+AK36*B28+AK37*B29+AK38*B31+AK39*B32+AK40*B33+AK41*B34+AK42*B36+AK43*B37+AK44*B38+AK45*B39+AK46*B40+AK47*B25+AK48*B26+AK49*B27+AK50+AK51+AK52+AK53*B41</f>
      </c>
      <c r="AL32" s="44">
        <f>AL3+AL16+AL23+AL31+INT(IF(AL9=1,AJ9*(1+AL4/100)+AL6,0))+INT(IF(AL11=1,AJ11*(1+AL4/100)+AL6,0))+INT(IF(AL17=1,AJ17*(1+AL4/100)+AL6,0))+INT(IF(AL19=1,AJ19*(1+AL4/100)+AL6,0))+INT(IF(AL24=1,AJ24*(1+AL4/100)+AL6,0))+INT(IF(AL26=1,AJ26*(1+AL4/100)+AL6,0))+INT(IF(AL28=1,AJ28*(1+AL4/100)+AL6,0))+IF(AL10=1,AJ10,0)+IF(AL12=1,AJ12,0)+IF(AL13=1,AJ13,0)+IF(AL18=1,AJ18,0)+IF(AL20=1,AJ20,0)+IF(AL25=1,AJ25,0)+IF(AL27=1,AJ27,0)+AL7*B30+AL34*B23+AL35*B24+AL36*B28+AL37*B29+AL38*B31+AL39*B32+AL40*B33+AL41*B34+AL42*B36+AL43*B37+AL44*B38+AL45*B39+AL46*B40+AL47*B25+AL48*B26+AL49*B27+AL50+AL51+AL52+AL53*B41</f>
      </c>
      <c r="AM32" s="45">
        <f>AM3+AM16+AM23+AM31+INT(IF(AM9=1,AJ9*(1+AM4/100)+AM6,0))+INT(IF(AM11=1,AJ11*(1+AM4/100)+AM6,0))+INT(IF(AM17=1,AJ17*(1+AM4/100)+AM6,0))+INT(IF(AM19=1,AJ19*(1+AM4/100)+AM6,0))+INT(IF(AM24=1,AJ24*(1+AM4/100)+AM6,0))+INT(IF(AM26=1,AJ26*(1+AM4/100)+AM6,0))+INT(IF(AM28=1,AJ28*(1+AM4/100)+AM6,0))+IF(AM10=1,AJ10,0)+IF(AM12=1,AJ12,0)+IF(AM13=1,AJ13,0)+IF(AM18=1,AJ18,0)+IF(AM20=1,AJ20,0)+IF(AM25=1,AJ25,0)+IF(AM27=1,AJ27,0)+AM7*B30+AM34*B23+AM35*B24+AM36*B28+AM37*B29+AM38*B31+AM39*B32+AM40*B33+AM41*B34+AM42*B36+AM43*B37+AM44*B38+AM45*B39+AM46*B40+AM47*B25+AM48*B26+AM49*B27+AM50+AM51+AM52+AM53*B41</f>
      </c>
      <c r="AN32" s="4"/>
    </row>
    <row customHeight="true" ht="16" r="33">
      <c r="A33" t="str">
        <v>相谈</v>
      </c>
      <c r="B33" s="1">
        <v>4</v>
      </c>
      <c r="D33">
        <v>1</v>
      </c>
      <c r="E33">
        <v>1</v>
      </c>
      <c r="F33">
        <v>3</v>
      </c>
      <c r="G33">
        <v>1</v>
      </c>
      <c r="I33" s="1">
        <v>3</v>
      </c>
      <c r="J33" s="1">
        <v>1</v>
      </c>
      <c r="K33" s="1">
        <v>3</v>
      </c>
      <c r="L33" s="1">
        <v>3</v>
      </c>
      <c r="M33" s="1">
        <v>4</v>
      </c>
      <c r="N33" s="1">
        <v>1</v>
      </c>
      <c r="Q33" s="4"/>
      <c r="R33" s="4"/>
      <c r="S33" s="4"/>
      <c r="T33" s="4"/>
      <c r="U33" s="4"/>
      <c r="V33" s="4"/>
      <c r="W33" s="4"/>
      <c r="X33" s="4"/>
      <c r="Y33" s="4"/>
      <c r="Z33" s="4"/>
      <c r="AA33" s="4"/>
      <c r="AB33" s="4"/>
      <c r="AC33" s="4"/>
      <c r="AD33" s="4"/>
      <c r="AE33" s="4"/>
      <c r="AF33" s="4"/>
      <c r="AG33" s="4"/>
      <c r="AH33" s="4"/>
      <c r="AI33" s="65" t="str">
        <v>其余支援卡词条加成</v>
      </c>
      <c r="AJ33" s="65"/>
      <c r="AK33" s="65"/>
      <c r="AL33" s="65"/>
      <c r="AM33" s="65"/>
      <c r="AN33" s="4"/>
    </row>
    <row customHeight="true" ht="16" r="34">
      <c r="A34" t="str">
        <v>支给</v>
      </c>
      <c r="B34" s="1">
        <v>3</v>
      </c>
      <c r="D34">
        <v>0</v>
      </c>
      <c r="E34">
        <v>0</v>
      </c>
      <c r="F34">
        <v>0</v>
      </c>
      <c r="G34">
        <v>0</v>
      </c>
      <c r="I34" s="1">
        <v>3</v>
      </c>
      <c r="J34" s="1">
        <v>0</v>
      </c>
      <c r="K34" s="1">
        <v>3</v>
      </c>
      <c r="L34" s="1">
        <v>4</v>
      </c>
      <c r="M34" s="1">
        <v>3</v>
      </c>
      <c r="N34" s="1">
        <v>0</v>
      </c>
      <c r="Q34" s="4"/>
      <c r="R34" s="4"/>
      <c r="S34" s="4"/>
      <c r="T34" s="4"/>
      <c r="U34" s="4"/>
      <c r="V34" s="4"/>
      <c r="W34" s="4"/>
      <c r="X34" s="4"/>
      <c r="Y34" s="4"/>
      <c r="Z34" s="4"/>
      <c r="AA34" s="4"/>
      <c r="AB34" s="4"/>
      <c r="AC34" s="4"/>
      <c r="AD34" s="4"/>
      <c r="AE34" s="4"/>
      <c r="AF34" s="4"/>
      <c r="AG34" s="41" t="str">
        <v>包括抓任意卡</v>
      </c>
      <c r="AH34" s="41"/>
      <c r="AI34" s="46" t="str">
        <v>抓a卡</v>
      </c>
      <c r="AJ34" s="46"/>
      <c r="AK34" s="63">
        <v>3</v>
      </c>
      <c r="AL34" s="61">
        <v>0</v>
      </c>
      <c r="AM34" s="62">
        <v>0</v>
      </c>
      <c r="AN34" s="4"/>
    </row>
    <row customHeight="true" ht="16" r="35">
      <c r="A35" s="1" t="str">
        <v>删卡</v>
      </c>
      <c r="B35" s="1">
        <v>10</v>
      </c>
      <c r="C35" s="1" t="str"/>
      <c r="D35" s="1">
        <v>3</v>
      </c>
      <c r="E35" s="1">
        <v>3</v>
      </c>
      <c r="F35" s="1">
        <v>3</v>
      </c>
      <c r="G35" s="1">
        <v>3</v>
      </c>
      <c r="I35" s="1">
        <v>8</v>
      </c>
      <c r="J35" s="1">
        <v>6</v>
      </c>
      <c r="K35" s="1">
        <v>6</v>
      </c>
      <c r="L35" s="1">
        <v>6</v>
      </c>
      <c r="M35" s="1">
        <v>10</v>
      </c>
      <c r="N35" s="1">
        <v>6</v>
      </c>
      <c r="Q35" s="4"/>
      <c r="R35" s="4"/>
      <c r="S35" s="4"/>
      <c r="T35" s="4"/>
      <c r="U35" s="4"/>
      <c r="V35" s="4"/>
      <c r="W35" s="4"/>
      <c r="X35" s="4"/>
      <c r="Y35" s="4"/>
      <c r="Z35" s="4"/>
      <c r="AA35" s="4"/>
      <c r="AB35" s="4"/>
      <c r="AC35" s="4"/>
      <c r="AD35" s="4"/>
      <c r="AE35" s="4"/>
      <c r="AF35" s="4"/>
      <c r="AG35" s="41"/>
      <c r="AH35" s="41"/>
      <c r="AI35" s="46" t="str">
        <v>抓m卡</v>
      </c>
      <c r="AJ35" s="46"/>
      <c r="AK35" s="48">
        <v>0</v>
      </c>
      <c r="AL35" s="16">
        <v>0</v>
      </c>
      <c r="AM35" s="47">
        <v>0</v>
      </c>
      <c r="AN35" s="4"/>
    </row>
    <row customHeight="true" ht="16" r="36">
      <c r="A36" s="1" t="str">
        <v>删m卡</v>
      </c>
      <c r="B36" s="1">
        <v>3</v>
      </c>
      <c r="D36" s="1">
        <v>3</v>
      </c>
      <c r="E36" s="1">
        <v>3</v>
      </c>
      <c r="F36" s="1">
        <v>3</v>
      </c>
      <c r="G36" s="1">
        <v>3</v>
      </c>
      <c r="I36" s="1">
        <v>3</v>
      </c>
      <c r="J36" s="1">
        <v>3</v>
      </c>
      <c r="K36" s="1">
        <v>3</v>
      </c>
      <c r="L36" s="1">
        <v>3</v>
      </c>
      <c r="M36" s="1">
        <v>3</v>
      </c>
      <c r="N36" s="1">
        <v>3</v>
      </c>
      <c r="Q36" s="4"/>
      <c r="R36" s="4"/>
      <c r="S36" s="4"/>
      <c r="T36" s="4"/>
      <c r="U36" s="4"/>
      <c r="V36" s="4"/>
      <c r="W36" s="4"/>
      <c r="X36" s="4"/>
      <c r="Y36" s="4"/>
      <c r="Z36" s="4"/>
      <c r="AA36" s="4"/>
      <c r="AB36" s="4"/>
      <c r="AC36" s="4"/>
      <c r="AD36" s="4"/>
      <c r="AE36" s="4"/>
      <c r="AF36" s="4"/>
      <c r="AG36" s="41" t="str">
        <v>包括任意强化</v>
      </c>
      <c r="AH36" s="41"/>
      <c r="AI36" s="46" t="str">
        <v>a强化</v>
      </c>
      <c r="AJ36" s="46"/>
      <c r="AK36" s="48">
        <v>0</v>
      </c>
      <c r="AL36" s="16">
        <v>0</v>
      </c>
      <c r="AM36" s="47">
        <v>8</v>
      </c>
      <c r="AN36" s="4"/>
    </row>
    <row customHeight="true" ht="16" r="37">
      <c r="A37" s="1" t="str">
        <v>删a卡</v>
      </c>
      <c r="B37" s="1">
        <v>3</v>
      </c>
      <c r="D37" s="1">
        <v>3</v>
      </c>
      <c r="E37" s="1">
        <v>3</v>
      </c>
      <c r="F37" s="1">
        <v>3</v>
      </c>
      <c r="G37" s="1">
        <v>3</v>
      </c>
      <c r="I37" s="1">
        <v>3</v>
      </c>
      <c r="J37" s="1">
        <v>3</v>
      </c>
      <c r="K37" s="1">
        <v>3</v>
      </c>
      <c r="L37" s="1">
        <v>3</v>
      </c>
      <c r="M37" s="1">
        <v>3</v>
      </c>
      <c r="N37" s="1">
        <v>3</v>
      </c>
      <c r="Q37" s="4"/>
      <c r="R37" s="4"/>
      <c r="S37" s="4"/>
      <c r="T37" s="4"/>
      <c r="U37" s="4"/>
      <c r="V37" s="4"/>
      <c r="W37" s="4"/>
      <c r="X37" s="4"/>
      <c r="Y37" s="4"/>
      <c r="Z37" s="4"/>
      <c r="AA37" s="4"/>
      <c r="AB37" s="4"/>
      <c r="AC37" s="4"/>
      <c r="AD37" s="4"/>
      <c r="AE37" s="4"/>
      <c r="AF37" s="4"/>
      <c r="AG37" s="41"/>
      <c r="AH37" s="41"/>
      <c r="AI37" s="46" t="str">
        <v>m强化</v>
      </c>
      <c r="AJ37" s="46"/>
      <c r="AK37" s="48">
        <v>7</v>
      </c>
      <c r="AL37" s="16">
        <v>0</v>
      </c>
      <c r="AM37" s="47">
        <v>8</v>
      </c>
      <c r="AN37" s="4"/>
    </row>
    <row customHeight="true" ht="16" r="38">
      <c r="A38" s="1" t="str">
        <v>变卡</v>
      </c>
      <c r="B38" s="1">
        <v>3</v>
      </c>
      <c r="D38" s="1">
        <v>3</v>
      </c>
      <c r="E38" s="1">
        <v>3</v>
      </c>
      <c r="F38" s="1">
        <v>3</v>
      </c>
      <c r="G38" s="1">
        <v>3</v>
      </c>
      <c r="I38" s="1">
        <v>3</v>
      </c>
      <c r="J38" s="1">
        <v>3</v>
      </c>
      <c r="K38" s="1">
        <v>3</v>
      </c>
      <c r="L38" s="1">
        <v>3</v>
      </c>
      <c r="M38" s="1">
        <v>3</v>
      </c>
      <c r="N38" s="1">
        <v>3</v>
      </c>
      <c r="Q38" s="4"/>
      <c r="R38" s="4"/>
      <c r="S38" s="4"/>
      <c r="T38" s="4"/>
      <c r="U38" s="4"/>
      <c r="V38" s="4"/>
      <c r="W38" s="4"/>
      <c r="X38" s="16"/>
      <c r="Y38" s="16"/>
      <c r="Z38" s="16"/>
      <c r="AA38" s="16"/>
      <c r="AB38" s="16"/>
      <c r="AC38" s="16"/>
      <c r="AD38" s="4"/>
      <c r="AE38" s="4"/>
      <c r="AF38" s="4"/>
      <c r="AG38" s="4"/>
      <c r="AH38" s="4"/>
      <c r="AI38" s="41" t="str">
        <v>外出</v>
      </c>
      <c r="AJ38" s="41"/>
      <c r="AK38" s="48">
        <v>0</v>
      </c>
      <c r="AL38" s="16">
        <v>0</v>
      </c>
      <c r="AM38" s="47">
        <v>0</v>
      </c>
      <c r="AN38" s="4"/>
    </row>
    <row customHeight="true" ht="16" r="39">
      <c r="A39" s="1" t="str">
        <v>相谈饮料</v>
      </c>
      <c r="B39" s="1">
        <v>2</v>
      </c>
      <c r="C39" s="1" t="str"/>
      <c r="D39" s="1">
        <v>2</v>
      </c>
      <c r="E39" s="1">
        <v>0</v>
      </c>
      <c r="F39" s="1">
        <v>11</v>
      </c>
      <c r="G39" s="1">
        <v>2</v>
      </c>
      <c r="H39" s="1" t="str"/>
      <c r="I39" s="1">
        <v>2</v>
      </c>
      <c r="J39" s="1">
        <v>0</v>
      </c>
      <c r="K39" s="1">
        <v>12</v>
      </c>
      <c r="L39" s="1">
        <v>2</v>
      </c>
      <c r="M39" s="1">
        <v>2</v>
      </c>
      <c r="N39" s="1">
        <v>0</v>
      </c>
      <c r="Q39" s="4"/>
      <c r="R39" s="4"/>
      <c r="S39" s="4"/>
      <c r="T39" s="4"/>
      <c r="U39" s="4"/>
      <c r="V39" s="4"/>
      <c r="W39" s="4"/>
      <c r="X39" s="16"/>
      <c r="Y39" s="16"/>
      <c r="Z39" s="16"/>
      <c r="AA39" s="16"/>
      <c r="AB39" s="16"/>
      <c r="AC39" s="16"/>
      <c r="AD39" s="4"/>
      <c r="AE39" s="4"/>
      <c r="AF39" s="4"/>
      <c r="AG39" s="4"/>
      <c r="AH39" s="4"/>
      <c r="AI39" s="41" t="str">
        <v>休息</v>
      </c>
      <c r="AJ39" s="41"/>
      <c r="AK39" s="48">
        <v>0</v>
      </c>
      <c r="AL39" s="16">
        <v>0</v>
      </c>
      <c r="AM39" s="47">
        <v>0</v>
      </c>
      <c r="AN39" s="4"/>
    </row>
    <row customHeight="true" ht="16" r="40">
      <c r="A40" s="1" t="str">
        <v>饮料</v>
      </c>
      <c r="B40" s="1">
        <v>14</v>
      </c>
      <c r="C40" s="1" t="str"/>
      <c r="D40" s="1">
        <v>6</v>
      </c>
      <c r="E40" s="1">
        <v>4</v>
      </c>
      <c r="F40" s="1">
        <v>14</v>
      </c>
      <c r="G40" s="1">
        <v>6</v>
      </c>
      <c r="H40" s="1" t="str"/>
      <c r="I40" s="1">
        <v>14</v>
      </c>
      <c r="J40" s="1">
        <v>10</v>
      </c>
      <c r="K40" s="1">
        <v>16</v>
      </c>
      <c r="L40" s="1">
        <v>10</v>
      </c>
      <c r="M40" s="1">
        <v>14</v>
      </c>
      <c r="N40" s="1">
        <v>10</v>
      </c>
      <c r="Q40" s="4"/>
      <c r="R40" s="4"/>
      <c r="S40" s="4"/>
      <c r="T40" s="4"/>
      <c r="U40" s="4"/>
      <c r="V40" s="4"/>
      <c r="W40" s="4"/>
      <c r="X40" s="16"/>
      <c r="Y40" s="16"/>
      <c r="Z40" s="16"/>
      <c r="AA40" s="16"/>
      <c r="AB40" s="16"/>
      <c r="AC40" s="16"/>
      <c r="AD40" s="4"/>
      <c r="AE40" s="4"/>
      <c r="AF40" s="4"/>
      <c r="AG40" s="4"/>
      <c r="AH40" s="4"/>
      <c r="AI40" s="41" t="str">
        <v>相谈</v>
      </c>
      <c r="AJ40" s="41"/>
      <c r="AK40" s="48">
        <v>0</v>
      </c>
      <c r="AL40" s="16">
        <v>0</v>
      </c>
      <c r="AM40" s="47">
        <v>0</v>
      </c>
      <c r="AN40" s="4"/>
    </row>
    <row customHeight="true" ht="16" r="41">
      <c r="A41" s="4" t="str">
        <v>指导</v>
      </c>
      <c r="B41" s="4">
        <v>6</v>
      </c>
      <c r="C41" s="4"/>
      <c r="D41" s="4">
        <v>3</v>
      </c>
      <c r="E41" s="4">
        <v>3</v>
      </c>
      <c r="F41" s="4">
        <v>3</v>
      </c>
      <c r="G41" s="4">
        <v>3</v>
      </c>
      <c r="H41" s="4"/>
      <c r="I41" s="4">
        <v>6</v>
      </c>
      <c r="J41" s="4">
        <v>6</v>
      </c>
      <c r="K41" s="4">
        <v>6</v>
      </c>
      <c r="L41" s="4">
        <v>6</v>
      </c>
      <c r="M41" s="4">
        <v>6</v>
      </c>
      <c r="N41" s="67">
        <v>6</v>
      </c>
      <c r="Q41" s="4"/>
      <c r="R41" s="4"/>
      <c r="S41" s="4"/>
      <c r="T41" s="4"/>
      <c r="U41" s="4"/>
      <c r="V41" s="4"/>
      <c r="W41" s="4"/>
      <c r="X41" s="4"/>
      <c r="Y41" s="4"/>
      <c r="Z41" s="4"/>
      <c r="AA41" s="4"/>
      <c r="AB41" s="4"/>
      <c r="AC41" s="4"/>
      <c r="AD41" s="4"/>
      <c r="AE41" s="4"/>
      <c r="AF41" s="4"/>
      <c r="AG41" s="4"/>
      <c r="AH41" s="4"/>
      <c r="AI41" s="41" t="str">
        <v>支给</v>
      </c>
      <c r="AJ41" s="41"/>
      <c r="AK41" s="48">
        <v>0</v>
      </c>
      <c r="AL41" s="16">
        <v>0</v>
      </c>
      <c r="AM41" s="47">
        <v>0</v>
      </c>
      <c r="AN41" s="4"/>
    </row>
    <row customHeight="true" ht="16" r="42">
      <c r="Q42" s="4"/>
      <c r="R42" s="4"/>
      <c r="S42" s="4"/>
      <c r="T42" s="4"/>
      <c r="U42" s="4"/>
      <c r="V42" s="4"/>
      <c r="W42" s="4"/>
      <c r="X42" s="4"/>
      <c r="Y42" s="4"/>
      <c r="Z42" s="4"/>
      <c r="AA42" s="4"/>
      <c r="AB42" s="4"/>
      <c r="AC42" s="4"/>
      <c r="AD42" s="4"/>
      <c r="AE42" s="4"/>
      <c r="AF42" s="4"/>
      <c r="AG42" s="41" t="str">
        <v>包括删任意卡</v>
      </c>
      <c r="AH42" s="41"/>
      <c r="AI42" s="46" t="str">
        <v>删m卡</v>
      </c>
      <c r="AJ42" s="46"/>
      <c r="AK42" s="48">
        <v>0</v>
      </c>
      <c r="AL42" s="16">
        <v>0</v>
      </c>
      <c r="AM42" s="47">
        <v>17</v>
      </c>
      <c r="AN42" s="4"/>
    </row>
    <row customHeight="true" ht="16" r="43">
      <c r="Q43" s="4"/>
      <c r="R43" s="4"/>
      <c r="S43" s="4"/>
      <c r="T43" s="4"/>
      <c r="U43" s="4"/>
      <c r="V43" s="4"/>
      <c r="W43" s="4"/>
      <c r="X43" s="4"/>
      <c r="Y43" s="65" t="str">
        <v>评级计算器</v>
      </c>
      <c r="Z43" s="65"/>
      <c r="AA43" s="65"/>
      <c r="AB43" s="65"/>
      <c r="AC43" s="65"/>
      <c r="AD43" s="4"/>
      <c r="AE43" s="4"/>
      <c r="AF43" s="4"/>
      <c r="AG43" s="41"/>
      <c r="AH43" s="41"/>
      <c r="AI43" s="46" t="str">
        <v>删a卡</v>
      </c>
      <c r="AJ43" s="46"/>
      <c r="AK43" s="48">
        <v>0</v>
      </c>
      <c r="AL43" s="16">
        <v>0</v>
      </c>
      <c r="AM43" s="47">
        <v>0</v>
      </c>
      <c r="AN43" s="4"/>
    </row>
    <row customHeight="true" ht="16" r="44">
      <c r="A44" s="1" t="str">
        <v>根据预设改变路线选择直接将预设下所有数据复制粘贴至路线选择下即可</v>
      </c>
      <c r="Q44" s="4"/>
      <c r="R44" s="4"/>
      <c r="S44" s="4"/>
      <c r="T44" s="4"/>
      <c r="U44" s="4"/>
      <c r="V44" s="4"/>
      <c r="W44" s="4"/>
      <c r="X44" s="4"/>
      <c r="Y44" s="41" t="str">
        <v>三镜前属性</v>
      </c>
      <c r="Z44" s="41"/>
      <c r="AA44" s="105">
        <v>1556</v>
      </c>
      <c r="AB44" s="51">
        <v>1072</v>
      </c>
      <c r="AC44" s="52">
        <v>1597</v>
      </c>
      <c r="AD44" s="16"/>
      <c r="AE44" s="4"/>
      <c r="AF44" s="4"/>
      <c r="AG44" s="4"/>
      <c r="AH44" s="4"/>
      <c r="AI44" s="41" t="str">
        <v>变卡</v>
      </c>
      <c r="AJ44" s="41"/>
      <c r="AK44" s="48">
        <v>0</v>
      </c>
      <c r="AL44" s="16">
        <v>0</v>
      </c>
      <c r="AM44" s="47">
        <v>21</v>
      </c>
      <c r="AN44" s="4"/>
    </row>
    <row customHeight="true" ht="16" r="45">
      <c r="Q45" s="4"/>
      <c r="R45" s="4"/>
      <c r="S45" s="4"/>
      <c r="T45" s="4"/>
      <c r="U45" s="4"/>
      <c r="V45" s="4"/>
      <c r="W45" s="4"/>
      <c r="X45" s="4"/>
      <c r="Y45" s="41" t="str">
        <v>百分比</v>
      </c>
      <c r="Z45" s="41"/>
      <c r="AA45" s="77">
        <v>31.2</v>
      </c>
      <c r="AB45" s="77">
        <v>7</v>
      </c>
      <c r="AC45" s="78">
        <v>38.6</v>
      </c>
      <c r="AD45" s="16"/>
      <c r="AE45" s="4"/>
      <c r="AF45" s="4"/>
      <c r="AG45" s="4"/>
      <c r="AH45" s="4"/>
      <c r="AI45" s="41" t="str">
        <v>相谈饮料</v>
      </c>
      <c r="AJ45" s="41"/>
      <c r="AK45" s="48">
        <v>0</v>
      </c>
      <c r="AL45" s="16">
        <v>0</v>
      </c>
      <c r="AM45" s="47">
        <v>0</v>
      </c>
      <c r="AN45" s="4"/>
    </row>
    <row customHeight="true" ht="16" r="46">
      <c r="Q46" s="4"/>
      <c r="R46" s="4"/>
      <c r="S46" s="4"/>
      <c r="T46" s="4"/>
      <c r="U46" s="4"/>
      <c r="V46" s="4"/>
      <c r="W46" s="4"/>
      <c r="X46" s="4"/>
      <c r="Y46" s="41" t="str">
        <v>挑战道具加成比例</v>
      </c>
      <c r="Z46" s="56"/>
      <c r="AA46" s="63">
        <v>40</v>
      </c>
      <c r="AB46" s="61"/>
      <c r="AC46" s="62"/>
      <c r="AD46" s="16"/>
      <c r="AE46" s="4"/>
      <c r="AF46" s="4"/>
      <c r="AG46" s="4"/>
      <c r="AH46" s="4"/>
      <c r="AI46" s="41" t="str">
        <v>饮料</v>
      </c>
      <c r="AJ46" s="41"/>
      <c r="AK46" s="48">
        <v>0</v>
      </c>
      <c r="AL46" s="16">
        <v>0</v>
      </c>
      <c r="AM46" s="47">
        <v>0</v>
      </c>
      <c r="AN46" s="4"/>
    </row>
    <row customHeight="true" ht="16" r="47">
      <c r="Q47" s="4"/>
      <c r="R47" s="4"/>
      <c r="S47" s="4"/>
      <c r="T47" s="4"/>
      <c r="U47" s="4"/>
      <c r="V47" s="4"/>
      <c r="W47" s="4"/>
      <c r="X47" s="4"/>
      <c r="Y47" s="41" t="str">
        <v>三镜前粉丝</v>
      </c>
      <c r="Z47" s="56"/>
      <c r="AA47" s="81">
        <v>102051</v>
      </c>
      <c r="AB47" s="84"/>
      <c r="AC47" s="82"/>
      <c r="AD47" s="16"/>
      <c r="AE47" s="4"/>
      <c r="AF47" s="4"/>
      <c r="AG47" s="4"/>
      <c r="AH47" s="4"/>
      <c r="AI47" s="41" t="str">
        <v>抓好调卡</v>
      </c>
      <c r="AJ47" s="41"/>
      <c r="AK47" s="48">
        <v>0</v>
      </c>
      <c r="AL47" s="16">
        <v>0</v>
      </c>
      <c r="AM47" s="47">
        <v>0</v>
      </c>
      <c r="AN47" s="4"/>
    </row>
    <row customHeight="true" ht="16" r="48">
      <c r="Q48" s="4"/>
      <c r="R48" s="4"/>
      <c r="S48" s="4"/>
      <c r="T48" s="4"/>
      <c r="U48" s="4"/>
      <c r="V48" s="4"/>
      <c r="W48" s="4"/>
      <c r="X48" s="4"/>
      <c r="Y48" s="41" t="str">
        <v>基础属性</v>
      </c>
      <c r="Z48" s="41"/>
      <c r="AA48" s="58">
        <f>ROUNDUP(IF(B5="均衡",IF(B1="红",IF(AA49&lt;=35048,0.0028132*AA49,IF(AA49&gt;=137135,172,0.000719*AA49+73.4)),IF(B2="红",IF(AA49&lt;=14400,0.0055556*AA49,IF(AA49&gt;=64000,142,0.00125*AA49+62)),IF(AA49&lt;=10000,0.00672*AA49,IF(AA49&gt;=36522,116,0.00184*AA49+48.8)))),IF(B1="红",IF(AA49&lt;=38997,0.0032156*AA49,IF(AA49&gt;=136601,215,0.000918*AA49+89.6)),IF(B2="红",IF(AA49&lt;=18135,0.0041465*AA49,IF(AA49&gt;=63729,129,0.00118*AA49+53.8)),IF(AA49&lt;=9927,0.0050166*AA49,IF(AA49&gt;=36350,86,0.00137*AA49+36.2))))),0)</f>
      </c>
      <c r="AB48" s="59">
        <f>ROUNDUP(IF(B5="均衡",IF(B1="蓝",IF(AB49&lt;=35048,0.0028132*AB49,IF(AB49&gt;=137135,172,0.000719*AB49+73.4)),IF(B2="蓝",IF(AB49&lt;=14400,0.0055556*AB49,IF(AB49&gt;=64000,142,0.00125*AB49+62)),IF(AB49&lt;=10000,0.00672*AB49,IF(AB49&gt;=36522,116,0.00184*AB49+48.8)))),IF(B1="蓝",IF(AB49&lt;=38997,0.0032156*AB49,IF(AB49&gt;=136601,215,0.000918*AB49+89.6)),IF(B2="蓝",IF(AB49&lt;=18135,0.0041465*AB49,IF(AB49&gt;=63729,129,0.00118*AB49+53.8)),IF(AB49&lt;=9927,0.0050166*AB49,IF(AB49&gt;=36350,86,0.00137*AB49+36.2))))),0)</f>
      </c>
      <c r="AC48" s="60">
        <f>ROUNDUP(IF(B5="均衡",IF(B1="黄",IF(AC49&lt;=35048,0.0028132*AC49,IF(AC49&gt;=137135,172,0.000719*AC49+73.4)),IF(B2="黄",IF(AC49&lt;=14400,0.0055556*AC49,IF(AC49&gt;=64000,142,0.00125*AC49+62)),IF(AC49&lt;=10000,0.00672*AC49,IF(AC49&gt;=36522,116,0.00184*AC49+48.8)))),IF(B1="黄",IF(AC49&lt;=38997,0.0032156*AC49,IF(AC49&gt;=136601,215,0.000918*AC49+89.6)),IF(B2="黄",IF(AC49&lt;=18135,0.0041465*AC49,IF(AC49&gt;=63729,129,0.00118*AC49+53.8)),IF(AC49&lt;=9927,0.0050166*AC49,IF(AC49&gt;=36350,86,0.00137*AC49+36.2))))),0)</f>
      </c>
      <c r="AD48" s="16"/>
      <c r="AE48" s="4"/>
      <c r="AF48" s="4"/>
      <c r="AG48" s="4"/>
      <c r="AH48" s="4"/>
      <c r="AI48" s="41" t="str">
        <v>抓温存卡</v>
      </c>
      <c r="AJ48" s="41"/>
      <c r="AK48" s="48">
        <v>0</v>
      </c>
      <c r="AL48" s="16">
        <v>0</v>
      </c>
      <c r="AM48" s="47">
        <v>0</v>
      </c>
      <c r="AN48" s="4"/>
    </row>
    <row customHeight="true" ht="16" r="49">
      <c r="Q49" s="4"/>
      <c r="R49" s="4"/>
      <c r="S49" s="4"/>
      <c r="T49" s="4"/>
      <c r="U49" s="4"/>
      <c r="V49" s="4"/>
      <c r="W49" s="4"/>
      <c r="X49" s="4"/>
      <c r="Y49" s="41" t="str">
        <v>打分</v>
      </c>
      <c r="Z49" s="41"/>
      <c r="AA49" s="48">
        <v>73823</v>
      </c>
      <c r="AB49" s="16">
        <v>44056</v>
      </c>
      <c r="AC49" s="16">
        <v>297035</v>
      </c>
      <c r="AD49" s="41">
        <f>AA49+AB49+AC49</f>
      </c>
      <c r="AE49" s="4"/>
      <c r="AF49" s="4"/>
      <c r="AG49" s="4"/>
      <c r="AH49" s="4"/>
      <c r="AI49" s="41" t="str">
        <v>抓好印象卡</v>
      </c>
      <c r="AJ49" s="41"/>
      <c r="AK49" s="48">
        <v>0</v>
      </c>
      <c r="AL49" s="16">
        <v>0</v>
      </c>
      <c r="AM49" s="47">
        <v>0</v>
      </c>
      <c r="AN49" s="4"/>
    </row>
    <row customHeight="true" ht="16" r="50">
      <c r="Q50" s="4">
        <f>AA48+INT(AA48*AA45/100)+INT(AA48*AA46/100)+AA44</f>
      </c>
      <c r="R50" s="4">
        <f>AB48+INT(AB48*AB45/100)+INT(AB48*AA46/100)+AB44</f>
      </c>
      <c r="S50" s="4">
        <f>AC48+INT(AC48*AC45/100)+INT(AC48*AA46/100)+AC44</f>
      </c>
      <c r="T50" s="4"/>
      <c r="U50" s="4"/>
      <c r="V50" s="4"/>
      <c r="W50" s="4"/>
      <c r="X50" s="16"/>
      <c r="Y50" s="41" t="str">
        <v>结算属性</v>
      </c>
      <c r="Z50" s="41"/>
      <c r="AA50" s="69">
        <f>IF(Q50&gt;=2300,2300,Q50)</f>
      </c>
      <c r="AB50" s="68">
        <f>IF(R50&gt;=2300,2300,R50)</f>
      </c>
      <c r="AC50" s="70">
        <f>IF(S50&gt;=2300,2300,S50)</f>
      </c>
      <c r="AD50" s="16"/>
      <c r="AE50" s="4"/>
      <c r="AF50" s="4"/>
      <c r="AG50" s="4"/>
      <c r="AH50" s="4"/>
      <c r="AI50" s="41" t="str">
        <v>试镜结束</v>
      </c>
      <c r="AJ50" s="41"/>
      <c r="AK50" s="48">
        <v>17</v>
      </c>
      <c r="AL50" s="16">
        <v>0</v>
      </c>
      <c r="AM50" s="47">
        <v>0</v>
      </c>
      <c r="AN50" s="4"/>
    </row>
    <row customHeight="true" ht="16" r="51">
      <c r="Q51" s="4"/>
      <c r="R51" s="4"/>
      <c r="S51" s="4"/>
      <c r="T51" s="4"/>
      <c r="U51" s="4"/>
      <c r="V51" s="4"/>
      <c r="W51" s="4"/>
      <c r="X51" s="16"/>
      <c r="Y51" s="41" t="str">
        <v>结算粉丝</v>
      </c>
      <c r="Z51" s="41"/>
      <c r="AA51" s="63">
        <f>INT(IF(AD49&lt;=260115,0.114*AD49+5481,IF(AD49&lt;=621213,0.0273*AD49+28033,IF(AD49&gt;=1200808,49002,0.00619*AD49+41569))))+AA47</f>
      </c>
      <c r="AB51" s="63"/>
      <c r="AC51" s="65"/>
      <c r="AD51" s="16"/>
      <c r="AE51" s="4"/>
      <c r="AF51" s="4"/>
      <c r="AG51" s="4"/>
      <c r="AH51" s="4"/>
      <c r="AI51" s="41" t="str">
        <v>属性事件</v>
      </c>
      <c r="AJ51" s="41"/>
      <c r="AK51" s="48">
        <v>105</v>
      </c>
      <c r="AL51" s="16">
        <v>0</v>
      </c>
      <c r="AM51" s="47">
        <v>110</v>
      </c>
      <c r="AN51" s="4"/>
    </row>
    <row customHeight="true" ht="16" r="52">
      <c r="Q52" s="4"/>
      <c r="R52" s="4"/>
      <c r="S52" s="4"/>
      <c r="T52" s="4"/>
      <c r="U52" s="4"/>
      <c r="V52" s="49" t="str">
        <v>暂只支持10w粉丝以上计算</v>
      </c>
      <c r="W52" s="49"/>
      <c r="X52" s="49"/>
      <c r="Y52" s="41" t="str">
        <v>最终评级</v>
      </c>
      <c r="Z52" s="41"/>
      <c r="AA52" s="81">
        <f>INT((AA50+AB50+AC50)*2.3)+INT(IF(AA51&lt;120000,AA51*0.05+2600,IF(AA51&lt;140000,AA51*0.04+3800,AA51*0.03+5200)))</f>
      </c>
      <c r="AB52" s="81"/>
      <c r="AC52" s="82">
        <f>IF(AA52&gt;=23000,"SSS+",IF(AA52&gt;=20000,"SSS",IF(AA52&gt;=18000,"SS+",IF(AA52&gt;=16000,"SS","SS以下"))))</f>
      </c>
      <c r="AD52" s="16" t="str">
        <v>概率出现小额偏差</v>
      </c>
      <c r="AE52" s="16"/>
      <c r="AF52" s="4"/>
      <c r="AG52" s="4"/>
      <c r="AH52" s="4"/>
      <c r="AI52" s="65" t="str">
        <v>道具属性</v>
      </c>
      <c r="AJ52" s="65"/>
      <c r="AK52" s="48">
        <v>0</v>
      </c>
      <c r="AL52" s="16">
        <v>0</v>
      </c>
      <c r="AM52" s="16">
        <v>0</v>
      </c>
      <c r="AN52" s="83"/>
    </row>
    <row customHeight="true" ht="16" r="53">
      <c r="Q53" s="4"/>
      <c r="R53" s="4"/>
      <c r="S53" s="4"/>
      <c r="T53" s="4"/>
      <c r="U53" s="4"/>
      <c r="V53" s="49"/>
      <c r="W53" s="49"/>
      <c r="X53" s="49"/>
      <c r="Y53" s="16"/>
      <c r="Z53" s="16"/>
      <c r="AA53" s="16"/>
      <c r="AB53" s="16"/>
      <c r="AC53" s="4"/>
      <c r="AD53" s="16"/>
      <c r="AE53" s="4"/>
      <c r="AF53" s="4"/>
      <c r="AG53" s="4"/>
      <c r="AH53" s="4"/>
      <c r="AI53" s="41" t="str">
        <v>指导</v>
      </c>
      <c r="AJ53" s="41"/>
      <c r="AK53" s="84">
        <v>0</v>
      </c>
      <c r="AL53" s="84">
        <v>0</v>
      </c>
      <c r="AM53" s="82">
        <v>0</v>
      </c>
      <c r="AN53" s="16"/>
    </row>
    <row customHeight="true" ht="16" r="54">
      <c r="Q54" s="4"/>
      <c r="R54" s="4"/>
      <c r="S54" s="4"/>
      <c r="T54" s="4"/>
      <c r="U54" s="4"/>
      <c r="V54" s="49"/>
      <c r="W54" s="49"/>
      <c r="X54" s="49"/>
      <c r="Y54" s="16"/>
      <c r="Z54" s="16"/>
      <c r="AA54" s="16"/>
      <c r="AB54" s="16"/>
      <c r="AC54" s="4"/>
      <c r="AD54" s="16"/>
      <c r="AE54" s="4"/>
      <c r="AF54" s="4"/>
      <c r="AG54" s="4"/>
      <c r="AH54" s="4"/>
      <c r="AI54" s="61"/>
      <c r="AJ54" s="61"/>
      <c r="AK54" s="61"/>
      <c r="AL54" s="61"/>
      <c r="AM54" s="61"/>
      <c r="AN54" s="16"/>
    </row>
  </sheetData>
  <mergeCells>
    <mergeCell ref="K4:N4"/>
    <mergeCell ref="K3:N3"/>
    <mergeCell ref="K2:N2"/>
    <mergeCell ref="K7:N7"/>
    <mergeCell ref="E7:H7"/>
    <mergeCell ref="K6:N6"/>
    <mergeCell ref="E6:H6"/>
    <mergeCell ref="K5:N5"/>
    <mergeCell ref="E5:H5"/>
    <mergeCell ref="E4:H4"/>
    <mergeCell ref="E3:H3"/>
    <mergeCell ref="E2:H2"/>
    <mergeCell ref="A6:B6"/>
    <mergeCell ref="I9:L9"/>
    <mergeCell ref="D9:G9"/>
    <mergeCell ref="AI1:AM1"/>
    <mergeCell ref="Q2:T2"/>
    <mergeCell ref="W2:Z2"/>
    <mergeCell ref="AC2:AF2"/>
    <mergeCell ref="AI2:AM2"/>
    <mergeCell ref="Q3:T3"/>
    <mergeCell ref="W3:Z3"/>
    <mergeCell ref="AC3:AF3"/>
    <mergeCell ref="AI3:AJ3"/>
    <mergeCell ref="Q4:T4"/>
    <mergeCell ref="W4:Z4"/>
    <mergeCell ref="AC4:AF4"/>
    <mergeCell ref="AI4:AJ4"/>
    <mergeCell ref="Q5:T5"/>
    <mergeCell ref="W5:Z5"/>
    <mergeCell ref="AC5:AF5"/>
    <mergeCell ref="AI5:AM5"/>
    <mergeCell ref="Q6:T6"/>
    <mergeCell ref="W6:Z6"/>
    <mergeCell ref="AC6:AF6"/>
    <mergeCell ref="AI6:AJ6"/>
    <mergeCell ref="Q7:T7"/>
    <mergeCell ref="W7:Z7"/>
    <mergeCell ref="AC7:AF7"/>
    <mergeCell ref="AI7:AJ7"/>
    <mergeCell ref="AI8:AJ8"/>
    <mergeCell ref="AK8:AM8"/>
    <mergeCell ref="Q9:U10"/>
    <mergeCell ref="AD14:AH14"/>
    <mergeCell ref="AI14:AJ14"/>
    <mergeCell ref="AI15:AJ15"/>
    <mergeCell ref="AI16:AJ16"/>
    <mergeCell ref="AI21:AJ21"/>
    <mergeCell ref="AI22:AJ22"/>
    <mergeCell ref="AI23:AJ23"/>
    <mergeCell ref="AI29:AJ29"/>
    <mergeCell ref="AI30:AJ30"/>
    <mergeCell ref="AI31:AJ31"/>
    <mergeCell ref="AI32:AJ32"/>
    <mergeCell ref="AI33:AM33"/>
    <mergeCell ref="AG34:AH35"/>
    <mergeCell ref="AI34:AJ34"/>
    <mergeCell ref="AI35:AJ35"/>
    <mergeCell ref="AG36:AH37"/>
    <mergeCell ref="AI36:AJ36"/>
    <mergeCell ref="AI37:AJ37"/>
    <mergeCell ref="AI38:AJ38"/>
    <mergeCell ref="AI39:AJ39"/>
    <mergeCell ref="AI40:AJ40"/>
    <mergeCell ref="AI41:AJ41"/>
    <mergeCell ref="AG42:AH43"/>
    <mergeCell ref="AI42:AJ42"/>
    <mergeCell ref="Y43:AC43"/>
    <mergeCell ref="AI43:AJ43"/>
    <mergeCell ref="Y44:Z44"/>
    <mergeCell ref="AI44:AJ44"/>
    <mergeCell ref="Y45:Z45"/>
    <mergeCell ref="AI45:AJ45"/>
    <mergeCell ref="Y46:Z46"/>
    <mergeCell ref="AA46:AC46"/>
    <mergeCell ref="AI46:AJ46"/>
    <mergeCell ref="Y47:Z47"/>
    <mergeCell ref="AA47:AC47"/>
    <mergeCell ref="AI47:AJ47"/>
    <mergeCell ref="Y48:Z48"/>
    <mergeCell ref="AI48:AJ48"/>
    <mergeCell ref="Y49:Z49"/>
    <mergeCell ref="AI49:AJ49"/>
    <mergeCell ref="Y50:Z50"/>
    <mergeCell ref="AI50:AJ50"/>
    <mergeCell ref="Y51:Z51"/>
    <mergeCell ref="AA51:AC51"/>
    <mergeCell ref="AI51:AJ51"/>
    <mergeCell ref="V52:X52"/>
    <mergeCell ref="Y52:Z52"/>
    <mergeCell ref="AA52:AB52"/>
    <mergeCell ref="AI52:AJ52"/>
    <mergeCell ref="AD52:AE52"/>
    <mergeCell ref="AI53:AJ53"/>
  </mergeCells>
  <conditionalFormatting sqref="AC4:AF7">
    <cfRule dxfId="0" priority="2" stopIfTrue="true" type="expression">
      <formula>AND(路线!$B$2="黄",ROW()&gt;=4,ROW()&lt;=7)</formula>
    </cfRule>
  </conditionalFormatting>
  <conditionalFormatting sqref="AC4:AF7">
    <cfRule dxfId="1" priority="3" stopIfTrue="true" type="expression">
      <formula>AND(路线!$B$2="红",ROW()&gt;=4,ROW()&lt;=7)</formula>
    </cfRule>
  </conditionalFormatting>
  <conditionalFormatting sqref="AC4:AF7">
    <cfRule dxfId="2" priority="4" stopIfTrue="true" type="expression">
      <formula>AND(路线!$B$2="蓝",ROW()&gt;=4,ROW()&lt;=7)</formula>
    </cfRule>
  </conditionalFormatting>
  <conditionalFormatting sqref="AC2:AF3">
    <cfRule dxfId="3" priority="5" stopIfTrue="true" type="expression">
      <formula>AND(路线!$B$1="黄",ROW()&gt;=2,ROW()&lt;=3)</formula>
    </cfRule>
  </conditionalFormatting>
  <conditionalFormatting sqref="AC2:AF3">
    <cfRule dxfId="4" priority="6" stopIfTrue="true" type="expression">
      <formula>AND(路线!$B$1="红",ROW()&gt;=2,ROW()&lt;=3)</formula>
    </cfRule>
  </conditionalFormatting>
  <conditionalFormatting sqref="AC2:AF3">
    <cfRule dxfId="5" priority="7" stopIfTrue="true" type="expression">
      <formula>AND(路线!$B$1="蓝",ROW()&gt;=2,ROW()&lt;=3)</formula>
    </cfRule>
  </conditionalFormatting>
  <conditionalFormatting sqref="W6:Z7">
    <cfRule dxfId="6" priority="8" stopIfTrue="true" type="expression">
      <formula>AND(OR(AND(路线!$B$2="红",路线!$B$1="黄"),AND(路线!$B$2="黄",路线!$B$1="红")),ROW()&gt;=6,ROW()&lt;=7)</formula>
    </cfRule>
  </conditionalFormatting>
  <conditionalFormatting sqref="W6:Z7">
    <cfRule dxfId="7" priority="9" stopIfTrue="true" type="expression">
      <formula>AND(OR(AND(路线!$B$2="蓝",路线!$B$1="黄"),AND(路线!$B$2="黄",路线!$B$1="蓝")),ROW()&gt;=6,ROW()&lt;=7)</formula>
    </cfRule>
  </conditionalFormatting>
  <conditionalFormatting sqref="W6:Z7">
    <cfRule dxfId="8" priority="10" stopIfTrue="true" type="expression">
      <formula>AND(OR(AND(路线!$B$2="红",路线!$B$1="蓝"),AND(路线!$B$2="蓝",路线!$B$1="红")),ROW()&gt;=6,ROW()&lt;=7)</formula>
    </cfRule>
  </conditionalFormatting>
  <conditionalFormatting sqref="W4:Z5">
    <cfRule dxfId="9" priority="11" stopIfTrue="true" type="expression">
      <formula>AND(路线!$B$2="蓝",ROW()&gt;=4,ROW()&lt;=5)</formula>
    </cfRule>
  </conditionalFormatting>
  <conditionalFormatting sqref="W4:Z5">
    <cfRule dxfId="10" priority="12" stopIfTrue="true" type="expression">
      <formula>AND(路线!$B$2="红",ROW()&gt;=4,ROW()&lt;=5)</formula>
    </cfRule>
  </conditionalFormatting>
  <conditionalFormatting sqref="W4:Z5">
    <cfRule dxfId="11" priority="13" stopIfTrue="true" type="expression">
      <formula>AND(路线!$B$2="黄",ROW()&gt;=4,ROW()&lt;=5)</formula>
    </cfRule>
  </conditionalFormatting>
  <conditionalFormatting sqref="W2:Z3">
    <cfRule dxfId="12" priority="14" stopIfTrue="true" type="expression">
      <formula>AND(路线!$B$1="蓝",ROW()&gt;=2,ROW()&lt;=3)</formula>
    </cfRule>
  </conditionalFormatting>
  <conditionalFormatting sqref="W2:Z3">
    <cfRule dxfId="13" priority="15" stopIfTrue="true" type="expression">
      <formula>AND(路线!$B$1="红",ROW()&gt;=2,ROW()&lt;=3)</formula>
    </cfRule>
  </conditionalFormatting>
  <conditionalFormatting sqref="W2:Z3">
    <cfRule dxfId="14" priority="16" stopIfTrue="true" type="expression">
      <formula>AND(路线!$B$1="黄",ROW()&gt;=2,ROW()&lt;=3)</formula>
    </cfRule>
  </conditionalFormatting>
  <conditionalFormatting sqref="Q5:T6">
    <cfRule dxfId="15" priority="17" stopIfTrue="true" type="expression">
      <formula>AND(路线!$B$1="蓝",ROW()&gt;=5,ROW()&lt;=6)</formula>
    </cfRule>
  </conditionalFormatting>
  <conditionalFormatting sqref="Q5:T6">
    <cfRule dxfId="16" priority="18" stopIfTrue="true" type="expression">
      <formula>AND(路线!$B$1="红",ROW()&gt;=5,ROW()&lt;=6)</formula>
    </cfRule>
  </conditionalFormatting>
  <conditionalFormatting sqref="Q5:T6">
    <cfRule dxfId="17" priority="19" stopIfTrue="true" type="expression">
      <formula>AND(路线!$B$1="黄",ROW()&gt;=5,ROW()&lt;=6)</formula>
    </cfRule>
  </conditionalFormatting>
  <conditionalFormatting sqref="Q2:T4">
    <cfRule dxfId="18" priority="20" stopIfTrue="true" type="expression">
      <formula>AND(路线!$B$2="蓝",ROW()&gt;=2,ROW()&lt;=4)</formula>
    </cfRule>
  </conditionalFormatting>
  <conditionalFormatting sqref="Q2:T4">
    <cfRule dxfId="19" priority="21" stopIfTrue="true" type="expression">
      <formula>AND(路线!$B$2="红",ROW()&gt;=2,ROW()&lt;=4)</formula>
    </cfRule>
  </conditionalFormatting>
  <conditionalFormatting sqref="Q2:T4">
    <cfRule dxfId="20" priority="22" stopIfTrue="true" type="expression">
      <formula>AND(路线!$B$2="黄",ROW()&gt;=2,ROW()&lt;=4)</formula>
    </cfRule>
  </conditionalFormatting>
  <conditionalFormatting sqref="K7:N7 Q7:T7">
    <cfRule dxfId="21" priority="23" stopIfTrue="true" type="expression">
      <formula>=AND(OR(AND(路线!$B$2="红",路线!$B$1="蓝"),AND(路线!$B$2="蓝",路线!$B$1="红")),ROW()&gt;=7,ROW()&lt;=7)</formula>
    </cfRule>
  </conditionalFormatting>
  <conditionalFormatting sqref="K7:N7 Q7:T7">
    <cfRule dxfId="22" priority="24" stopIfTrue="true" type="expression">
      <formula>=AND(OR(AND(路线!$B$2="黄",路线!$B$1="蓝"),AND(路线!$B$2="蓝",路线!$B$1="黄")),ROW()&gt;=7,ROW()&lt;=7)</formula>
    </cfRule>
  </conditionalFormatting>
  <conditionalFormatting sqref="K7:N7 Q7:T7">
    <cfRule dxfId="23" priority="25" stopIfTrue="true" type="expression">
      <formula>=AND(OR(AND(路线!$B$2="红",路线!$B$1="黄"),AND(路线!$B$2="黄",路线!$B$1="红")),ROW()&gt;=7,ROW()&lt;=7)</formula>
    </cfRule>
  </conditionalFormatting>
  <conditionalFormatting sqref="K5:N6">
    <cfRule dxfId="24" priority="26" stopIfTrue="true" type="expression">
      <formula>=AND(路线!$B$2="蓝",ROW()&gt;=5,ROW()&lt;=7)</formula>
    </cfRule>
  </conditionalFormatting>
  <conditionalFormatting sqref="K5:N6">
    <cfRule dxfId="25" priority="27" stopIfTrue="true" type="expression">
      <formula>=AND(路线!$B$2="红",ROW()&gt;=5,ROW()&lt;=7)</formula>
    </cfRule>
  </conditionalFormatting>
  <conditionalFormatting sqref="K5:N6">
    <cfRule dxfId="26" priority="28" stopIfTrue="true" type="expression">
      <formula>=AND(路线!$B$2="黄",ROW()&gt;=5,ROW()&lt;=7)</formula>
    </cfRule>
  </conditionalFormatting>
  <conditionalFormatting sqref="E5:H7">
    <cfRule dxfId="27" priority="29" stopIfTrue="true" type="expression">
      <formula>AND(路线!$B$2="蓝",ROW()&gt;=5,ROW()&lt;=7)</formula>
    </cfRule>
  </conditionalFormatting>
  <conditionalFormatting sqref="E5:H7">
    <cfRule dxfId="28" priority="30" stopIfTrue="true" type="expression">
      <formula>AND(路线!$B$2="红",ROW()&gt;=5,ROW()&lt;=7)</formula>
    </cfRule>
  </conditionalFormatting>
  <conditionalFormatting sqref="E5:H7">
    <cfRule dxfId="29" priority="31" stopIfTrue="true" type="expression">
      <formula>AND(路线!$B$2="黄",ROW()&gt;=5,ROW()&lt;=7)</formula>
    </cfRule>
  </conditionalFormatting>
  <conditionalFormatting sqref="E2:H4 K2:N4">
    <cfRule dxfId="30" priority="32" stopIfTrue="true" type="expression">
      <formula>=AND(路线!$B$1="蓝",ROW()&gt;=2,ROW()&lt;=4)</formula>
    </cfRule>
  </conditionalFormatting>
  <conditionalFormatting sqref="E2:H4 K2:N4">
    <cfRule dxfId="31" priority="33" stopIfTrue="true" type="expression">
      <formula>=AND(路线!$B$1="红",ROW()&gt;=2,ROW()&lt;=4)</formula>
    </cfRule>
  </conditionalFormatting>
  <conditionalFormatting sqref="E2:H4 K2:N4">
    <cfRule dxfId="32" priority="34" stopIfTrue="true" type="expression">
      <formula>=AND(路线!$B$1="黄",ROW()&gt;=2,ROW()&lt;=4)</formula>
    </cfRule>
  </conditionalFormatting>
  <conditionalFormatting sqref="Q7:T7">
    <cfRule dxfId="33" priority="35" stopIfTrue="true" type="expression">
      <formula>AND($B$2="红黄", ROW()=7)</formula>
    </cfRule>
  </conditionalFormatting>
  <conditionalFormatting sqref="Q7:T7">
    <cfRule dxfId="34" priority="36" stopIfTrue="true" type="expression">
      <formula>AND($B$2="蓝黄", ROW()=7)</formula>
    </cfRule>
  </conditionalFormatting>
  <conditionalFormatting sqref="Q7:T7">
    <cfRule dxfId="35" priority="37" stopIfTrue="true" type="expression">
      <formula>AND($B$2="红蓝", ROW()=7)</formula>
    </cfRule>
  </conditionalFormatting>
  <dataValidations count="6">
    <dataValidation allowBlank="true" errorStyle="stop" showErrorMessage="true" sqref="B3" type="list">
      <formula1>"感性,理性,非凡"</formula1>
    </dataValidation>
    <dataValidation allowBlank="true" errorStyle="stop" showErrorMessage="true" sqref="B5" type="list">
      <formula1>"单极,均衡"</formula1>
    </dataValidation>
    <dataValidation allowBlank="true" errorStyle="stop" showErrorMessage="true" sqref="C2:C4" type="list">
      <formula1>"0,1,2,3"</formula1>
    </dataValidation>
    <dataValidation allowBlank="true" errorStyle="stop" showErrorMessage="true" sqref="B1:B2" type="list">
      <formula1>"红,蓝,黄"</formula1>
    </dataValidation>
    <dataValidation allowBlank="true" errorStyle="stop" showErrorMessage="true" sqref="B4" type="list">
      <formula1>"计算,不计算"</formula1>
    </dataValidation>
    <dataValidation allowBlank="true" errorStyle="stop" showErrorMessage="true" sqref="C6" type="list">
      <formula1>"计算,不计算"</formula1>
    </dataValidation>
  </dataValidations>
</worksheet>
</file>

<file path=xl/worksheets/sheet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9"/>
    <col collapsed="false" customWidth="true" hidden="false" max="2" min="2" style="0" width="9"/>
    <col collapsed="false" customWidth="true" hidden="false" max="3" min="3" style="0" width="9"/>
    <col collapsed="false" customWidth="true" hidden="false" max="4" min="4" style="0" width="9"/>
    <col collapsed="false" customWidth="true" hidden="false" max="5" min="5" style="0" width="9"/>
    <col collapsed="false" customWidth="true" hidden="false" max="6" min="6" style="0" width="9"/>
    <col collapsed="false" customWidth="true" hidden="false" max="7" min="7" style="0" width="9"/>
    <col collapsed="false" customWidth="true" hidden="false" max="8" min="8" style="0" width="9"/>
    <col collapsed="false" customWidth="true" hidden="false" max="9" min="9" style="0" width="9"/>
    <col collapsed="false" customWidth="true" hidden="false" max="10" min="10" style="0" width="9"/>
    <col collapsed="false" customWidth="true" hidden="false" max="11" min="11" style="0" width="9"/>
    <col collapsed="false" customWidth="true" hidden="false" max="12" min="12" style="0" width="9"/>
    <col collapsed="false" customWidth="true" hidden="false" max="13" min="13" style="0" width="9"/>
    <col collapsed="false" customWidth="true" hidden="false" max="14" min="14" style="0" width="9"/>
    <col collapsed="false" customWidth="true" hidden="false" max="15" min="15" style="0" width="9"/>
    <col collapsed="false" customWidth="true" hidden="false" max="16" min="16" style="0" width="9"/>
    <col collapsed="false" customWidth="true" hidden="false" max="17" min="17" style="0" width="9"/>
    <col collapsed="false" customWidth="true" hidden="false" max="18" min="18" style="0" width="9"/>
    <col collapsed="false" customWidth="true" hidden="false" max="19" min="19" style="0" width="9"/>
    <col collapsed="false" customWidth="true" hidden="false" max="20" min="20" style="0" width="9"/>
  </cols>
  <sheetData>
    <row customHeight="true" ht="16" r="1">
      <c r="A1" s="109">
        <f>IF(AQ4=-1,0,INDEX(I3,AQ4+1))</f>
      </c>
      <c r="B1" s="109" t="str">
        <v>SSR</v>
      </c>
      <c r="C1" s="109" t="str"/>
      <c r="D1" s="109" t="str"/>
      <c r="E1" s="109" t="str"/>
      <c r="F1" s="109" t="str"/>
      <c r="G1" s="109" t="str"/>
      <c r="H1" s="109" t="str">
        <v>SR</v>
      </c>
      <c r="I1" s="109" t="str"/>
      <c r="J1" s="109" t="str"/>
      <c r="K1" s="109" t="str"/>
      <c r="L1" s="109" t="str"/>
      <c r="M1" s="109" t="str"/>
    </row>
    <row customHeight="true" ht="16" r="2">
      <c r="A2" s="109" t="str">
        <v>事件</v>
      </c>
      <c r="B2" s="109" t="str"/>
      <c r="C2" s="109">
        <v>30</v>
      </c>
      <c r="D2" s="109">
        <v>35</v>
      </c>
      <c r="E2" s="109">
        <v>40</v>
      </c>
      <c r="F2" s="109" t="str"/>
      <c r="G2" s="109" t="str"/>
      <c r="H2" s="109" t="str"/>
      <c r="I2" s="109">
        <v>22</v>
      </c>
      <c r="J2" s="109">
        <v>26</v>
      </c>
      <c r="K2" s="109">
        <v>30</v>
      </c>
      <c r="L2" s="109" t="str"/>
      <c r="M2" s="109" t="str"/>
    </row>
    <row customHeight="true" ht="16" r="3">
      <c r="A3" s="109" t="str">
        <v>基础值</v>
      </c>
      <c r="B3" s="109" t="str"/>
      <c r="C3" s="109">
        <v>48</v>
      </c>
      <c r="D3" s="109">
        <v>51</v>
      </c>
      <c r="E3" s="109">
        <v>54</v>
      </c>
      <c r="F3" s="109">
        <v>57</v>
      </c>
      <c r="G3" s="109">
        <v>60</v>
      </c>
      <c r="H3" s="109" t="str"/>
      <c r="I3" s="109">
        <v>33</v>
      </c>
      <c r="J3" s="109">
        <v>36</v>
      </c>
      <c r="K3" s="109">
        <v>39</v>
      </c>
      <c r="L3" s="109">
        <v>42</v>
      </c>
      <c r="M3" s="109">
        <v>45</v>
      </c>
    </row>
    <row customHeight="true" ht="16" r="4">
      <c r="A4" s="109" t="str">
        <v>百分比</v>
      </c>
      <c r="B4" s="109" t="str"/>
      <c r="C4" s="109">
        <v>6.5</v>
      </c>
      <c r="D4" s="109">
        <v>7</v>
      </c>
      <c r="E4" s="109">
        <v>7.5</v>
      </c>
      <c r="F4" s="109">
        <v>8</v>
      </c>
      <c r="G4" s="109">
        <v>8.5</v>
      </c>
      <c r="H4" s="109" t="str"/>
      <c r="I4" s="109">
        <v>4.4</v>
      </c>
      <c r="J4" s="109">
        <v>4.9</v>
      </c>
      <c r="K4" s="109">
        <v>5.4</v>
      </c>
      <c r="L4" s="109">
        <v>5.9</v>
      </c>
      <c r="M4" s="109">
        <v>6.4</v>
      </c>
    </row>
    <row customHeight="true" ht="16" r="5">
      <c r="A5" s="109" t="str">
        <v>休息</v>
      </c>
      <c r="B5" s="109" t="str"/>
      <c r="C5" s="109">
        <v>17</v>
      </c>
      <c r="D5" s="109">
        <v>22</v>
      </c>
      <c r="E5" s="109" t="str"/>
      <c r="F5" s="109" t="str"/>
      <c r="G5" s="109" t="str"/>
      <c r="H5" s="109" t="str"/>
      <c r="I5" s="109">
        <v>9</v>
      </c>
      <c r="J5" s="109">
        <v>17</v>
      </c>
      <c r="K5" s="109" t="str"/>
      <c r="L5" s="109" t="str"/>
      <c r="M5" s="109" t="str"/>
    </row>
    <row customHeight="true" ht="16" r="6">
      <c r="A6" s="109" t="str">
        <v>训练</v>
      </c>
      <c r="B6" s="109" t="str"/>
      <c r="C6" s="109">
        <v>4</v>
      </c>
      <c r="D6" s="109">
        <v>6</v>
      </c>
      <c r="E6" s="109" t="str"/>
      <c r="F6" s="109">
        <v>3</v>
      </c>
      <c r="G6" s="109">
        <v>4</v>
      </c>
      <c r="H6" s="109" t="str"/>
      <c r="I6" s="109">
        <v>2</v>
      </c>
      <c r="J6" s="109">
        <v>4</v>
      </c>
      <c r="K6" s="109" t="str"/>
      <c r="L6" s="109" t="str"/>
      <c r="M6" s="109" t="str"/>
    </row>
    <row customHeight="true" ht="16" r="7">
      <c r="A7" s="109" t="str">
        <v>sp训练</v>
      </c>
      <c r="B7" s="109" t="str"/>
      <c r="C7" s="109">
        <v>13</v>
      </c>
      <c r="D7" s="109">
        <v>17</v>
      </c>
      <c r="E7" s="109" t="str"/>
      <c r="F7" s="109">
        <v>9</v>
      </c>
      <c r="G7" s="109">
        <v>13</v>
      </c>
      <c r="H7" s="109" t="str"/>
      <c r="I7" s="109">
        <v>7</v>
      </c>
      <c r="J7" s="109">
        <v>13</v>
      </c>
      <c r="K7" s="109" t="str"/>
      <c r="L7" s="109" t="str"/>
      <c r="M7" s="109" t="str"/>
    </row>
    <row customHeight="true" ht="16" r="8">
      <c r="A8" s="109" t="str">
        <v>通常训练</v>
      </c>
      <c r="B8" s="109" t="str"/>
      <c r="C8" s="109" t="str"/>
      <c r="D8" s="109" t="str"/>
      <c r="E8" s="109" t="str"/>
      <c r="F8" s="109" t="str"/>
      <c r="G8" s="109" t="str"/>
      <c r="H8" s="109" t="str"/>
      <c r="I8" s="109">
        <v>7</v>
      </c>
      <c r="J8" s="109">
        <v>13</v>
      </c>
      <c r="K8" s="109" t="str"/>
      <c r="L8" s="109" t="str"/>
      <c r="M8" s="109" t="str"/>
    </row>
    <row customHeight="true" ht="16" r="9">
      <c r="A9" s="109" t="str">
        <v>强化</v>
      </c>
      <c r="B9" s="109" t="str"/>
      <c r="C9" s="109">
        <v>3</v>
      </c>
      <c r="D9" s="109">
        <v>4</v>
      </c>
      <c r="E9" s="109" t="str"/>
      <c r="F9" s="109" t="str"/>
      <c r="G9" s="109" t="str"/>
      <c r="H9" s="109" t="str"/>
      <c r="I9" s="109">
        <v>2</v>
      </c>
      <c r="J9" s="109">
        <v>3</v>
      </c>
      <c r="K9" s="109" t="str"/>
      <c r="L9" s="109" t="str"/>
      <c r="M9" s="109" t="str"/>
    </row>
    <row customHeight="true" ht="16" r="10">
      <c r="A10" s="109" t="str">
        <v>m强化</v>
      </c>
      <c r="B10" s="109" t="str"/>
      <c r="C10" s="109">
        <v>7</v>
      </c>
      <c r="D10" s="109">
        <v>9</v>
      </c>
      <c r="E10" s="109" t="str"/>
      <c r="F10" s="109">
        <v>5</v>
      </c>
      <c r="G10" s="109">
        <v>7</v>
      </c>
      <c r="H10" s="109" t="str"/>
      <c r="I10" s="109">
        <v>4</v>
      </c>
      <c r="J10" s="109">
        <v>6</v>
      </c>
      <c r="K10" s="109" t="str"/>
      <c r="L10" s="109" t="str"/>
      <c r="M10" s="109" t="str"/>
    </row>
    <row customHeight="true" ht="16" r="11">
      <c r="A11" s="109" t="str">
        <v>a强化</v>
      </c>
      <c r="B11" s="109" t="str"/>
      <c r="C11" s="109">
        <v>7</v>
      </c>
      <c r="D11" s="109">
        <v>9</v>
      </c>
      <c r="E11" s="109" t="str"/>
      <c r="F11" s="109">
        <v>5</v>
      </c>
      <c r="G11" s="109">
        <v>7</v>
      </c>
      <c r="H11" s="109" t="str"/>
      <c r="I11" s="109" t="str"/>
      <c r="J11" s="109" t="str"/>
      <c r="K11" s="109" t="str"/>
      <c r="L11" s="109" t="str"/>
      <c r="M11" s="109" t="str"/>
    </row>
    <row customHeight="true" ht="16" r="12">
      <c r="A12" s="109" t="str">
        <v>支给</v>
      </c>
      <c r="B12" s="109" t="str"/>
      <c r="C12" s="109">
        <v>12</v>
      </c>
      <c r="D12" s="109">
        <v>17</v>
      </c>
      <c r="E12" s="109" t="str"/>
      <c r="F12" s="109" t="str"/>
      <c r="G12" s="109" t="str"/>
      <c r="H12" s="109" t="str"/>
      <c r="I12" s="109">
        <v>6</v>
      </c>
      <c r="J12" s="109">
        <v>11</v>
      </c>
      <c r="K12" s="109" t="str"/>
      <c r="L12" s="109" t="str"/>
      <c r="M12" s="109" t="str"/>
    </row>
    <row customHeight="true" ht="16" r="13">
      <c r="A13" s="109" t="str">
        <v>抓m卡</v>
      </c>
      <c r="B13" s="109" t="str"/>
      <c r="C13" s="109">
        <v>2</v>
      </c>
      <c r="D13" s="109">
        <v>3</v>
      </c>
      <c r="E13" s="109" t="str"/>
      <c r="F13" s="109">
        <v>1</v>
      </c>
      <c r="G13" s="109">
        <v>2</v>
      </c>
      <c r="H13" s="109" t="str"/>
      <c r="I13" s="109" t="str"/>
      <c r="J13" s="109" t="str"/>
      <c r="K13" s="109" t="str"/>
      <c r="L13" s="109" t="str"/>
      <c r="M13" s="109" t="str"/>
    </row>
    <row customHeight="true" ht="16" r="14">
      <c r="A14" s="109" t="str">
        <v>抓a卡</v>
      </c>
      <c r="B14" s="109" t="str"/>
      <c r="C14" s="109">
        <v>2</v>
      </c>
      <c r="D14" s="109">
        <v>3</v>
      </c>
      <c r="E14" s="109" t="str"/>
      <c r="F14" s="111">
        <v>1</v>
      </c>
      <c r="G14" s="111">
        <v>2</v>
      </c>
      <c r="H14" s="109" t="str"/>
      <c r="I14" s="109" t="str"/>
      <c r="J14" s="109" t="str"/>
      <c r="K14" s="109" t="str"/>
      <c r="L14" s="109" t="str"/>
      <c r="M14" s="109" t="str"/>
    </row>
    <row customHeight="true" ht="16" r="15">
      <c r="A15" s="109" t="str">
        <v>抓卡</v>
      </c>
      <c r="B15" s="109" t="str"/>
      <c r="C15" s="109" t="str"/>
      <c r="D15" s="109" t="str"/>
      <c r="E15" s="109" t="str"/>
      <c r="F15" s="109" t="str"/>
      <c r="G15" s="109" t="str"/>
      <c r="H15" s="109" t="str"/>
      <c r="I15" s="109">
        <v>1</v>
      </c>
      <c r="J15" s="109">
        <v>2</v>
      </c>
      <c r="K15" s="109" t="str"/>
      <c r="L15" s="109" t="str"/>
      <c r="M15" s="109" t="str"/>
    </row>
    <row customHeight="true" ht="16" r="16">
      <c r="A16" s="109" t="str">
        <v>营业</v>
      </c>
      <c r="B16" s="109" t="str"/>
      <c r="C16" s="109">
        <v>5</v>
      </c>
      <c r="D16" s="109">
        <v>7</v>
      </c>
      <c r="E16" s="109" t="str"/>
      <c r="F16" s="109">
        <v>4</v>
      </c>
      <c r="G16" s="109">
        <v>5</v>
      </c>
      <c r="H16" s="109" t="str"/>
      <c r="I16" s="111">
        <v>3</v>
      </c>
      <c r="J16" s="111">
        <v>5</v>
      </c>
      <c r="K16" s="109" t="str"/>
      <c r="L16" s="109" t="str"/>
      <c r="M16" s="109" t="str"/>
    </row>
    <row customHeight="true" ht="16" r="17">
      <c r="A17" s="109" t="str">
        <v>外出</v>
      </c>
      <c r="B17" s="109" t="str"/>
      <c r="C17" s="109">
        <v>11</v>
      </c>
      <c r="D17" s="109">
        <v>15</v>
      </c>
      <c r="E17" s="109" t="str"/>
      <c r="F17" s="109" t="str"/>
      <c r="G17" s="109" t="str"/>
      <c r="H17" s="109" t="str"/>
      <c r="I17" s="109">
        <v>5</v>
      </c>
      <c r="J17" s="109">
        <v>10</v>
      </c>
      <c r="K17" s="109" t="str"/>
      <c r="L17" s="109" t="str"/>
      <c r="M17" s="109" t="str"/>
    </row>
    <row customHeight="true" ht="16" r="18">
      <c r="A18" s="109" t="str">
        <v>相谈</v>
      </c>
      <c r="B18" s="109" t="str"/>
      <c r="C18" s="109">
        <v>8</v>
      </c>
      <c r="D18" s="109">
        <v>11</v>
      </c>
      <c r="E18" s="109" t="str"/>
      <c r="F18" s="109">
        <v>6</v>
      </c>
      <c r="G18" s="109">
        <v>8</v>
      </c>
      <c r="H18" s="109" t="str"/>
      <c r="I18" s="109">
        <v>4</v>
      </c>
      <c r="J18" s="109">
        <v>8</v>
      </c>
      <c r="K18" s="109" t="str"/>
      <c r="L18" s="109" t="str"/>
      <c r="M18" s="109" t="str"/>
    </row>
    <row customHeight="true" ht="16" r="19">
      <c r="A19" s="109" t="str">
        <v>试验终了</v>
      </c>
      <c r="B19" s="109" t="str"/>
      <c r="C19" s="109">
        <v>17</v>
      </c>
      <c r="D19" s="109">
        <v>22</v>
      </c>
      <c r="E19" s="109" t="str"/>
      <c r="F19" s="109">
        <v>11</v>
      </c>
      <c r="G19" s="109">
        <v>17</v>
      </c>
      <c r="H19" s="109" t="str"/>
      <c r="I19" s="109">
        <v>9</v>
      </c>
      <c r="J19" s="109">
        <v>17</v>
      </c>
      <c r="K19" s="109" t="str"/>
      <c r="L19" s="109" t="str"/>
      <c r="M19" s="109" t="str"/>
    </row>
    <row customHeight="true" ht="16" r="20">
      <c r="A20" s="109" t="str">
        <v>饮料</v>
      </c>
      <c r="B20" s="109" t="str"/>
      <c r="C20" s="109">
        <v>8</v>
      </c>
      <c r="D20" s="109">
        <v>11</v>
      </c>
      <c r="E20" s="109" t="str"/>
      <c r="F20" s="111">
        <v>4</v>
      </c>
      <c r="G20" s="111">
        <v>5</v>
      </c>
      <c r="H20" s="109" t="str"/>
      <c r="I20" s="109">
        <v>4</v>
      </c>
      <c r="J20" s="109">
        <v>8</v>
      </c>
      <c r="K20" s="109" t="str"/>
      <c r="L20" s="109" t="str"/>
      <c r="M20" s="109" t="str"/>
    </row>
    <row customHeight="true" ht="16" r="21">
      <c r="A21" s="109" t="str">
        <v>抓好调卡</v>
      </c>
      <c r="B21" s="109" t="str"/>
      <c r="C21" s="109">
        <v>3</v>
      </c>
      <c r="D21" s="109">
        <v>4</v>
      </c>
      <c r="E21" s="109" t="str"/>
      <c r="F21" s="109" t="str"/>
      <c r="G21" s="109" t="str"/>
      <c r="H21" s="109" t="str"/>
      <c r="I21" s="109" t="str"/>
      <c r="J21" s="109" t="str"/>
      <c r="K21" s="109" t="str"/>
      <c r="L21" s="109" t="str"/>
      <c r="M21" s="109" t="str"/>
    </row>
    <row customHeight="true" ht="16" r="22">
      <c r="A22" s="109" t="str">
        <v>删卡</v>
      </c>
      <c r="B22" s="109" t="str"/>
      <c r="C22" s="109">
        <v>8</v>
      </c>
      <c r="D22" s="109">
        <v>11</v>
      </c>
      <c r="E22" s="109" t="str">
        <v>次限</v>
      </c>
      <c r="F22" s="109">
        <v>17</v>
      </c>
      <c r="G22" s="109">
        <v>22</v>
      </c>
      <c r="H22" s="109" t="str"/>
      <c r="I22" s="109">
        <v>4</v>
      </c>
      <c r="J22" s="109">
        <v>8</v>
      </c>
      <c r="K22" s="110" t="str">
        <v>次限</v>
      </c>
      <c r="L22" s="110">
        <v>8</v>
      </c>
      <c r="M22" s="110">
        <v>16</v>
      </c>
    </row>
    <row customHeight="true" ht="16" r="23">
      <c r="A23" s="109" t="str">
        <v>抓温存卡</v>
      </c>
      <c r="B23" s="109" t="str"/>
      <c r="C23" s="109">
        <v>3</v>
      </c>
      <c r="D23" s="109">
        <v>4</v>
      </c>
      <c r="E23" s="109" t="str"/>
      <c r="F23" s="109" t="str"/>
      <c r="G23" s="109" t="str"/>
      <c r="H23" s="109" t="str"/>
      <c r="I23" s="109" t="str"/>
      <c r="J23" s="109" t="str"/>
      <c r="K23" s="109" t="str"/>
      <c r="L23" s="109" t="str"/>
      <c r="M23" s="109" t="str"/>
    </row>
    <row customHeight="true" ht="16" r="24">
      <c r="A24" s="112" t="str">
        <v>抓好印象卡</v>
      </c>
      <c r="C24" s="109">
        <v>3</v>
      </c>
      <c r="D24" s="109">
        <v>4</v>
      </c>
      <c r="I24" s="1">
        <v>2</v>
      </c>
      <c r="J24" s="1">
        <v>3</v>
      </c>
    </row>
    <row customHeight="true" ht="16" r="25">
      <c r="A25" s="109" t="str">
        <v>变卡</v>
      </c>
      <c r="C25" s="109">
        <v>16</v>
      </c>
      <c r="D25" s="109">
        <v>21</v>
      </c>
    </row>
    <row customHeight="true" ht="16" r="26">
      <c r="A26" s="110" t="str">
        <v>指导</v>
      </c>
      <c r="B26" s="4"/>
      <c r="C26" s="110">
        <v>8</v>
      </c>
      <c r="D26" s="110">
        <v>11</v>
      </c>
    </row>
  </sheetData>
</worksheet>
</file>

<file path=xl/worksheets/sheet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14"/>
    <col collapsed="false" customWidth="true" hidden="false" max="2" min="2" style="0" width="14"/>
    <col collapsed="false" customWidth="true" hidden="false" max="3" min="3" style="0" width="14"/>
    <col collapsed="false" customWidth="true" hidden="false" max="4" min="4" style="0" width="14"/>
    <col collapsed="false" customWidth="true" hidden="false" max="5" min="5" style="0" width="14"/>
    <col collapsed="false" customWidth="true" hidden="false" max="6" min="6" style="0" width="14"/>
    <col collapsed="false" customWidth="true" hidden="false" max="7" min="7" style="0" width="14"/>
    <col collapsed="false" customWidth="true" hidden="false" max="8" min="8" style="0" width="14"/>
    <col collapsed="false" customWidth="true" hidden="false" max="9" min="9" style="0" width="14"/>
    <col collapsed="false" customWidth="true" hidden="false" max="10" min="10" style="0" width="14"/>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 collapsed="false" customWidth="true" hidden="false" max="22" min="22" style="0" width="14"/>
    <col collapsed="false" customWidth="true" hidden="false" max="23" min="23" style="0" width="14"/>
    <col collapsed="false" customWidth="true" hidden="false" max="24" min="24" style="0" width="14"/>
    <col collapsed="false" customWidth="true" hidden="false" max="25" min="25" style="0" width="14"/>
    <col collapsed="false" customWidth="true" hidden="false" max="26" min="26" style="0" width="14"/>
    <col collapsed="false" customWidth="true" hidden="false" max="27" min="27" style="0" width="14"/>
    <col collapsed="false" customWidth="true" hidden="false" max="28" min="28" style="0" width="14"/>
    <col collapsed="false" customWidth="true" hidden="false" max="29" min="29" style="0" width="14"/>
    <col collapsed="false" customWidth="true" hidden="false" max="30" min="30" style="0" width="14"/>
    <col collapsed="false" customWidth="true" hidden="false" max="31" min="31" style="0" width="14"/>
    <col collapsed="false" customWidth="true" hidden="false" max="32" min="32" style="0" width="14"/>
    <col collapsed="false" customWidth="true" hidden="false" max="33" min="33" style="0" width="14"/>
    <col collapsed="false" customWidth="true" hidden="false" max="34" min="34" style="0" width="14"/>
    <col collapsed="false" customWidth="true" hidden="false" max="35" min="35" style="0" width="14"/>
    <col collapsed="false" customWidth="true" hidden="false" max="36" min="36" style="0" width="14"/>
    <col collapsed="false" customWidth="true" hidden="false" max="37" min="37" style="0" width="14"/>
    <col collapsed="false" customWidth="true" hidden="false" max="38" min="38" style="0" width="14"/>
    <col collapsed="false" customWidth="true" hidden="false" max="39" min="39" style="0" width="14"/>
    <col collapsed="false" customWidth="true" hidden="false" max="40" min="40" style="0" width="14"/>
    <col collapsed="false" customWidth="true" hidden="false" max="41" min="41" style="0" width="14"/>
    <col collapsed="false" customWidth="true" hidden="false" max="42" min="42" style="0" width="14"/>
    <col collapsed="false" customWidth="true" hidden="false" max="43" min="43" style="0" width="14"/>
    <col collapsed="false" customWidth="true" hidden="false" max="44" min="44" style="0" width="14"/>
    <col collapsed="false" customWidth="true" hidden="false" max="45" min="45" style="0" width="14"/>
    <col collapsed="false" customWidth="true" hidden="false" max="46" min="46" style="0" width="14"/>
    <col collapsed="false" customWidth="true" hidden="false" max="47" min="47" style="0" width="14"/>
  </cols>
  <sheetData>
    <row customHeight="true" ht="19" r="1">
      <c r="D1" s="1" t="str">
        <v>属性值</v>
      </c>
      <c r="E1" s="117" t="str">
        <v>流派</v>
      </c>
      <c r="F1" s="117" t="str">
        <v>sp</v>
      </c>
      <c r="G1" s="117" t="str">
        <v>属性</v>
      </c>
      <c r="H1" s="1" t="str">
        <v>污染</v>
      </c>
      <c r="I1" s="1" t="str">
        <v>带出道具或S卡</v>
      </c>
      <c r="J1" s="1" t="str">
        <v>满破属性</v>
      </c>
      <c r="L1" s="1" t="str">
        <v>红感性</v>
      </c>
      <c r="M1" s="1" t="str">
        <v>红理性</v>
      </c>
      <c r="N1" s="1" t="str">
        <v>红非凡</v>
      </c>
      <c r="O1" s="1" t="str">
        <v>蓝感性</v>
      </c>
      <c r="P1" s="1" t="str">
        <v>蓝理性</v>
      </c>
      <c r="Q1" s="1" t="str">
        <v>蓝非凡</v>
      </c>
      <c r="R1" s="1" t="str">
        <v>黄感性</v>
      </c>
      <c r="S1" s="1" t="str">
        <v>黄理性</v>
      </c>
      <c r="T1" s="1" t="str">
        <v>黄非凡</v>
      </c>
      <c r="U1" s="1" t="str">
        <v>红感性sp</v>
      </c>
      <c r="V1" s="1" t="str">
        <v>蓝感性sp</v>
      </c>
      <c r="W1" s="1" t="str">
        <v>黄感性sp</v>
      </c>
      <c r="X1" s="1" t="str">
        <v>红理性sp</v>
      </c>
      <c r="Y1" s="1" t="str">
        <v>蓝理性sp</v>
      </c>
      <c r="Z1" s="1" t="str">
        <v>黄理性sp</v>
      </c>
      <c r="AA1" s="1" t="str">
        <v>红非凡sp</v>
      </c>
      <c r="AB1" s="1" t="str">
        <v>蓝非凡sp</v>
      </c>
      <c r="AC1" s="1" t="str">
        <v>黄非凡sp</v>
      </c>
      <c r="AD1" s="1" t="str">
        <v>红借卡感性非sp</v>
      </c>
      <c r="AE1" s="1" t="str">
        <v>蓝借卡感性非sp</v>
      </c>
      <c r="AF1" s="1" t="str">
        <v>黄借卡感性非sp</v>
      </c>
      <c r="AG1" s="1" t="str">
        <v>红借卡感性sp</v>
      </c>
      <c r="AH1" s="1" t="str">
        <v>蓝借卡感性sp</v>
      </c>
      <c r="AI1" s="1" t="str">
        <v>黄借卡感性sp</v>
      </c>
      <c r="AJ1" s="1" t="str">
        <v>红借卡理性非sp</v>
      </c>
      <c r="AK1" s="1" t="str">
        <v>蓝借卡理性非sp</v>
      </c>
      <c r="AL1" s="1" t="str">
        <v>黄借卡理性非sp</v>
      </c>
      <c r="AM1" s="1" t="str">
        <v>红借卡理性sp</v>
      </c>
      <c r="AN1" s="1" t="str">
        <v>蓝借卡理性sp</v>
      </c>
      <c r="AO1" s="1" t="str">
        <v>黄借卡理性sp</v>
      </c>
      <c r="AP1" s="1" t="str">
        <v>红借卡非凡非sp</v>
      </c>
      <c r="AQ1" s="1" t="str">
        <v>蓝借卡非凡非sp</v>
      </c>
      <c r="AR1" s="1" t="str">
        <v>黄借卡非凡非sp</v>
      </c>
      <c r="AS1" s="1" t="str">
        <v>红借卡非凡sp</v>
      </c>
      <c r="AT1" s="1" t="str">
        <v>蓝借卡非凡sp</v>
      </c>
      <c r="AU1" s="1" t="str">
        <v>黄借卡非凡sp</v>
      </c>
    </row>
    <row customHeight="true" ht="19" r="2">
      <c r="A2" s="75" t="str">
        <v>相変わらず不器用ね（幼驯染）</v>
      </c>
      <c r="B2" s="75" t="str"/>
      <c r="C2" s="75" t="str"/>
      <c r="D2" s="116">
        <f>持有情况!F100-ROW()*1e-05</f>
      </c>
      <c r="E2" s="116">
        <v>2</v>
      </c>
      <c r="F2" s="117">
        <v>0</v>
      </c>
      <c r="G2" s="116">
        <v>1</v>
      </c>
      <c r="H2" s="117">
        <v>0</v>
      </c>
      <c r="I2" s="1" t="str"/>
      <c r="J2" s="116">
        <f>INT(60+4*路线!B27+17*路线!B15+15*路线!B31+40)-ROW()*1e-05</f>
      </c>
      <c r="L2" s="1">
        <f>IF(AND(OR(E2=1,E2=0),G2=1),D2,"")</f>
      </c>
      <c r="M2" s="1">
        <f>IF(AND(OR(E2=2,E2=0),G2=1),D2,"")</f>
      </c>
      <c r="N2" s="1">
        <f>IF(AND(OR(E2=3,E2=0),G2=1),D2,"")</f>
      </c>
      <c r="O2" s="1">
        <f>IF(AND(OR(E2=1,E2=0),G2=2),D2,"")</f>
      </c>
      <c r="P2" s="1">
        <f>IF(AND(OR(E2=2,E2=0),G2=2),D2,"")</f>
      </c>
      <c r="Q2" s="1">
        <f>IF(AND(OR(E2=3,E2=0),G2=2),D2,"")</f>
      </c>
      <c r="R2" s="1">
        <f>IF(AND(OR(E2=1,E2=0),G2=3),D2,"")</f>
      </c>
      <c r="S2" s="1">
        <f>IF(AND(OR(E2=2,E2=0),G2=3),D2,"")</f>
      </c>
      <c r="T2" s="1">
        <f>IF(AND(OR(E2=3,E2=0),G2=3),D2,"")</f>
      </c>
      <c r="U2" s="1">
        <f>IF(AND(OR(E2=1,E2=0),G2=1,F2=1),D2,"")</f>
      </c>
      <c r="V2" s="1">
        <f>IF(AND(OR(E2=1,E2=0),G2=2,F2=1),D2,"")</f>
      </c>
      <c r="W2" s="1">
        <f>IF(AND(OR(E2=1,E2=0),G2=3,F2=1),D2,"")</f>
      </c>
      <c r="X2" s="1">
        <f>IF(AND(OR(E2=2,E2=0),G2=1,F2=1),D2,"")</f>
      </c>
      <c r="Y2" s="1">
        <f>IF(AND(OR(E2=2,E2=0),G2=2,F2=1),D2,"")</f>
      </c>
      <c r="Z2" s="1">
        <f>IF(AND(OR(E2=2,E2=0),G2=3,F2=1),D2,"")</f>
      </c>
      <c r="AA2" s="1">
        <f>IF(AND(OR(E2=3,E2=0),G2=1,F2=1),D2,"")</f>
      </c>
      <c r="AB2" s="1">
        <f>IF(AND(OR(E2=3,E2=0),G2=2,F2=1),D2,"")</f>
      </c>
      <c r="AC2" s="1">
        <f>IF(AND(OR(E2=3,E2=0),G2=3,F2=1),D2,"")</f>
      </c>
      <c r="AD2" s="1">
        <f>IF(AND(OR(E2=1,E2=0),G2=1,F2=0),J2,"")</f>
      </c>
      <c r="AE2" s="1">
        <f>IF(AND(OR(E2=1,E2=0),G2=2,F2=0),J2,"")</f>
      </c>
      <c r="AF2" s="1">
        <f>IF(AND(OR(E2=1,E2=0),G2=3,F2=0),J2,"")</f>
      </c>
      <c r="AG2" s="1">
        <f>IF(AND(OR(E2=1,E2=0),G2=1,F2=1),J2,"")</f>
      </c>
      <c r="AH2" s="1">
        <f>IF(AND(OR(E2=1,E2=0),G2=2,F2=1),J2,"")</f>
      </c>
      <c r="AI2" s="1">
        <f>IF(AND(OR(E2=1,E2=0),G2=3,F2=1),J2,"")</f>
      </c>
      <c r="AJ2" s="1">
        <f>IF(AND(OR(E2=2,E2=0),G2=1,F2=0),J2,"")</f>
      </c>
      <c r="AK2" s="1">
        <f>IF(AND(OR(E2=2,E2=0),G2=2,F2=0),J2,"")</f>
      </c>
      <c r="AL2" s="1">
        <f>IF(AND(OR(E2=2,E2=0),G2=3,F2=0),J2,"")</f>
      </c>
      <c r="AM2" s="1">
        <f>IF(AND(OR(E2=2,E2=0),G2=1,F2=1),J2,"")</f>
      </c>
      <c r="AN2" s="1">
        <f>IF(AND(OR(E2=2,E2=0),G2=2,F2=1),J2,"")</f>
      </c>
      <c r="AO2" s="1">
        <f>IF(AND(OR(E2=2,E2=0),G2=3,F2=1),J2,"")</f>
      </c>
      <c r="AP2" s="1">
        <f>IF(AND(OR(E2=3,E2=0),G2=1,F2=0),J2,"")</f>
      </c>
      <c r="AQ2" s="1">
        <f>IF(AND(OR(E2=3,E2=0),G2=2,F2=0),J2,"")</f>
      </c>
      <c r="AR2" s="1">
        <f>IF(AND(OR(E2=3,E2=0),G2=3,F2=0),J2,"")</f>
      </c>
      <c r="AS2" s="1">
        <f>IF(AND(OR(E2=3,E2=0),G2=1,F2=1),J2,"")</f>
      </c>
      <c r="AT2" s="1">
        <f>IF(AND(OR(E2=3,E2=0),G2=2,F2=1),J2,"")</f>
      </c>
      <c r="AU2" s="1">
        <f>IF(AND(OR(E2=3,E2=0),G2=3,F2=1),J2,"")</f>
      </c>
    </row>
    <row customHeight="true" ht="19" r="3">
      <c r="A3" s="99" t="str">
        <v>夏を満喫するわよ！（水枪）</v>
      </c>
      <c r="B3" s="99" t="str"/>
      <c r="C3" s="99" t="str"/>
      <c r="D3" s="116">
        <f>持有情况!P46-ROW()*1e-05</f>
      </c>
      <c r="E3" s="116">
        <v>2</v>
      </c>
      <c r="F3" s="117">
        <v>0</v>
      </c>
      <c r="G3" s="116">
        <v>2</v>
      </c>
      <c r="H3" s="116">
        <v>1</v>
      </c>
      <c r="I3" s="111" t="str">
        <v>水枪</v>
      </c>
      <c r="J3" s="116">
        <f>INT((8.5/100)*路线!B11+9*路线!B29+17*路线!B15+7*路线!B30+40)-ROW()*1e-05</f>
      </c>
      <c r="L3" s="1">
        <f>IF(AND(OR(E3=1,E3=0),G3=1),D3,"")</f>
      </c>
      <c r="M3" s="1">
        <f>IF(AND(OR(E3=2,E3=0),G3=1),D3,"")</f>
      </c>
      <c r="N3" s="1">
        <f>IF(AND(OR(E3=3,E3=0),G3=1),D3,"")</f>
      </c>
      <c r="O3" s="1">
        <f>IF(AND(OR(E3=1,E3=0),G3=2),D3,"")</f>
      </c>
      <c r="P3" s="1">
        <f>IF(AND(OR(E3=2,E3=0),G3=2),D3,"")</f>
      </c>
      <c r="Q3" s="1">
        <f>IF(AND(OR(E3=3,E3=0),G3=2),D3,"")</f>
      </c>
      <c r="R3" s="1">
        <f>IF(AND(OR(E3=1,E3=0),G3=3),D3,"")</f>
      </c>
      <c r="S3" s="1">
        <f>IF(AND(OR(E3=2,E3=0),G3=3),D3,"")</f>
      </c>
      <c r="T3" s="1">
        <f>IF(AND(OR(E3=3,E3=0),G3=3),D3,"")</f>
      </c>
      <c r="U3" s="1">
        <f>IF(AND(OR(E3=1,E3=0),G3=1,F3=1),D3,"")</f>
      </c>
      <c r="V3" s="1">
        <f>IF(AND(OR(E3=1,E3=0),G3=2,F3=1),D3,"")</f>
      </c>
      <c r="W3" s="1">
        <f>IF(AND(OR(E3=1,E3=0),G3=3,F3=1),D3,"")</f>
      </c>
      <c r="X3" s="1">
        <f>IF(AND(OR(E3=2,E3=0),G3=1,F3=1),D3,"")</f>
      </c>
      <c r="Y3" s="1">
        <f>IF(AND(OR(E3=2,E3=0),G3=2,F3=1),D3,"")</f>
      </c>
      <c r="Z3" s="1">
        <f>IF(AND(OR(E3=2,E3=0),G3=3,F3=1),D3,"")</f>
      </c>
      <c r="AA3" s="1">
        <f>IF(AND(OR(E3=3,E3=0),G3=1,F3=1),D3,"")</f>
      </c>
      <c r="AB3" s="1">
        <f>IF(AND(OR(E3=3,E3=0),G3=2,F3=1),D3,"")</f>
      </c>
      <c r="AC3" s="1">
        <f>IF(AND(OR(E3=3,E3=0),G3=3,F3=1),D3,"")</f>
      </c>
      <c r="AD3" s="1">
        <f>IF(AND(OR(E3=1,E3=0),G3=1,F3=0),J3,"")</f>
      </c>
      <c r="AE3" s="1">
        <f>IF(AND(OR(E3=1,E3=0),G3=2,F3=0),J3,"")</f>
      </c>
      <c r="AF3" s="1">
        <f>IF(AND(OR(E3=1,E3=0),G3=3,F3=0),J3,"")</f>
      </c>
      <c r="AG3" s="1">
        <f>IF(AND(OR(E3=1,E3=0),G3=1,F3=1),J3,"")</f>
      </c>
      <c r="AH3" s="1">
        <f>IF(AND(OR(E3=1,E3=0),G3=2,F3=1),J3,"")</f>
      </c>
      <c r="AI3" s="1">
        <f>IF(AND(OR(E3=1,E3=0),G3=3,F3=1),J3,"")</f>
      </c>
      <c r="AJ3" s="1">
        <f>IF(AND(OR(E3=2,E3=0),G3=1,F3=0),J3,"")</f>
      </c>
      <c r="AK3" s="1">
        <f>IF(AND(OR(E3=2,E3=0),G3=2,F3=0),J3,"")</f>
      </c>
      <c r="AL3" s="1">
        <f>IF(AND(OR(E3=2,E3=0),G3=3,F3=0),J3,"")</f>
      </c>
      <c r="AM3" s="1">
        <f>IF(AND(OR(E3=2,E3=0),G3=1,F3=1),J3,"")</f>
      </c>
      <c r="AN3" s="1">
        <f>IF(AND(OR(E3=2,E3=0),G3=2,F3=1),J3,"")</f>
      </c>
      <c r="AO3" s="1">
        <f>IF(AND(OR(E3=2,E3=0),G3=3,F3=1),J3,"")</f>
      </c>
      <c r="AP3" s="1">
        <f>IF(AND(OR(E3=3,E3=0),G3=1,F3=0),J3,"")</f>
      </c>
      <c r="AQ3" s="1">
        <f>IF(AND(OR(E3=3,E3=0),G3=2,F3=0),J3,"")</f>
      </c>
      <c r="AR3" s="1">
        <f>IF(AND(OR(E3=3,E3=0),G3=3,F3=0),J3,"")</f>
      </c>
      <c r="AS3" s="1">
        <f>IF(AND(OR(E3=3,E3=0),G3=1,F3=1),J3,"")</f>
      </c>
      <c r="AT3" s="1">
        <f>IF(AND(OR(E3=3,E3=0),G3=2,F3=1),J3,"")</f>
      </c>
      <c r="AU3" s="1">
        <f>IF(AND(OR(E3=3,E3=0),G3=3,F3=1),J3,"")</f>
      </c>
    </row>
    <row customHeight="true" ht="19" r="4">
      <c r="A4" s="99" t="str">
        <v>ここから始まるんだね！（相册）</v>
      </c>
      <c r="B4" s="99" t="str"/>
      <c r="C4" s="99" t="str"/>
      <c r="D4" s="116">
        <f>持有情况!P106-ROW()*1e-05</f>
      </c>
      <c r="E4" s="116">
        <v>1</v>
      </c>
      <c r="F4" s="117">
        <v>0</v>
      </c>
      <c r="G4" s="116">
        <v>2</v>
      </c>
      <c r="H4" s="116">
        <v>1</v>
      </c>
      <c r="I4" s="111" t="str">
        <v>相册</v>
      </c>
      <c r="J4" s="116">
        <f>INT((8.5/100)*路线!B11+11*路线!B35+17*路线!B15+7*路线!B30+40)-ROW()*1e-05</f>
      </c>
      <c r="L4" s="1">
        <f>IF(AND(OR(E4=1,E4=0),G4=1),D4,"")</f>
      </c>
      <c r="M4" s="1">
        <f>IF(AND(OR(E4=2,E4=0),G4=1),D4,"")</f>
      </c>
      <c r="N4" s="1">
        <f>IF(AND(OR(E4=3,E4=0),G4=1),D4,"")</f>
      </c>
      <c r="O4" s="1">
        <f>IF(AND(OR(E4=1,E4=0),G4=2),D4,"")</f>
      </c>
      <c r="P4" s="1">
        <f>IF(AND(OR(E4=2,E4=0),G4=2),D4,"")</f>
      </c>
      <c r="Q4" s="1">
        <f>IF(AND(OR(E4=3,E4=0),G4=2),D4,"")</f>
      </c>
      <c r="R4" s="1">
        <f>IF(AND(OR(E4=1,E4=0),G4=3),D4,"")</f>
      </c>
      <c r="S4" s="1">
        <f>IF(AND(OR(E4=2,E4=0),G4=3),D4,"")</f>
      </c>
      <c r="T4" s="1">
        <f>IF(AND(OR(E4=3,E4=0),G4=3),D4,"")</f>
      </c>
      <c r="U4" s="1">
        <f>IF(AND(OR(E4=1,E4=0),G4=1,F4=1),D4,"")</f>
      </c>
      <c r="V4" s="1">
        <f>IF(AND(OR(E4=1,E4=0),G4=2,F4=1),D4,"")</f>
      </c>
      <c r="W4" s="1">
        <f>IF(AND(OR(E4=1,E4=0),G4=3,F4=1),D4,"")</f>
      </c>
      <c r="X4" s="1">
        <f>IF(AND(OR(E4=2,E4=0),G4=1,F4=1),D4,"")</f>
      </c>
      <c r="Y4" s="1">
        <f>IF(AND(OR(E4=2,E4=0),G4=2,F4=1),D4,"")</f>
      </c>
      <c r="Z4" s="1">
        <f>IF(AND(OR(E4=2,E4=0),G4=3,F4=1),D4,"")</f>
      </c>
      <c r="AA4" s="1">
        <f>IF(AND(OR(E4=3,E4=0),G4=1,F4=1),D4,"")</f>
      </c>
      <c r="AB4" s="1">
        <f>IF(AND(OR(E4=3,E4=0),G4=2,F4=1),D4,"")</f>
      </c>
      <c r="AC4" s="1">
        <f>IF(AND(OR(E4=3,E4=0),G4=3,F4=1),D4,"")</f>
      </c>
      <c r="AD4" s="1">
        <f>IF(AND(OR(E4=1,E4=0),G4=1,F4=0),J4,"")</f>
      </c>
      <c r="AE4" s="1">
        <f>IF(AND(OR(E4=1,E4=0),G4=2,F4=0),J4,"")</f>
      </c>
      <c r="AF4" s="1">
        <f>IF(AND(OR(E4=1,E4=0),G4=3,F4=0),J4,"")</f>
      </c>
      <c r="AG4" s="1">
        <f>IF(AND(OR(E4=1,E4=0),G4=1,F4=1),J4,"")</f>
      </c>
      <c r="AH4" s="1">
        <f>IF(AND(OR(E4=1,E4=0),G4=2,F4=1),J4,"")</f>
      </c>
      <c r="AI4" s="1">
        <f>IF(AND(OR(E4=1,E4=0),G4=3,F4=1),J4,"")</f>
      </c>
      <c r="AJ4" s="1">
        <f>IF(AND(OR(E4=2,E4=0),G4=1,F4=0),J4,"")</f>
      </c>
      <c r="AK4" s="1">
        <f>IF(AND(OR(E4=2,E4=0),G4=2,F4=0),J4,"")</f>
      </c>
      <c r="AL4" s="1">
        <f>IF(AND(OR(E4=2,E4=0),G4=3,F4=0),J4,"")</f>
      </c>
      <c r="AM4" s="1">
        <f>IF(AND(OR(E4=2,E4=0),G4=1,F4=1),J4,"")</f>
      </c>
      <c r="AN4" s="1">
        <f>IF(AND(OR(E4=2,E4=0),G4=2,F4=1),J4,"")</f>
      </c>
      <c r="AO4" s="1">
        <f>IF(AND(OR(E4=2,E4=0),G4=3,F4=1),J4,"")</f>
      </c>
      <c r="AP4" s="1">
        <f>IF(AND(OR(E4=3,E4=0),G4=1,F4=0),J4,"")</f>
      </c>
      <c r="AQ4" s="1">
        <f>IF(AND(OR(E4=3,E4=0),G4=2,F4=0),J4,"")</f>
      </c>
      <c r="AR4" s="1">
        <f>IF(AND(OR(E4=3,E4=0),G4=3,F4=0),J4,"")</f>
      </c>
      <c r="AS4" s="1">
        <f>IF(AND(OR(E4=3,E4=0),G4=1,F4=1),J4,"")</f>
      </c>
      <c r="AT4" s="1">
        <f>IF(AND(OR(E4=3,E4=0),G4=2,F4=1),J4,"")</f>
      </c>
      <c r="AU4" s="1">
        <f>IF(AND(OR(E4=3,E4=0),G4=3,F4=1),J4,"")</f>
      </c>
    </row>
    <row customHeight="true" ht="19" r="5">
      <c r="A5" s="99" t="str">
        <v>似合うんじゃない？（气球）</v>
      </c>
      <c r="B5" s="99" t="str"/>
      <c r="C5" s="99" t="str"/>
      <c r="D5" s="116">
        <f>持有情况!P58-ROW()*1e-05</f>
      </c>
      <c r="E5" s="116">
        <v>2</v>
      </c>
      <c r="F5" s="117">
        <v>0</v>
      </c>
      <c r="G5" s="116">
        <v>2</v>
      </c>
      <c r="H5" s="116">
        <v>1</v>
      </c>
      <c r="I5" s="111" t="str">
        <v>气球</v>
      </c>
      <c r="J5" s="116">
        <f>INT((8.5/100)*路线!B11+17*路线!B15+15*路线!B31+40)-ROW()*1e-05</f>
      </c>
      <c r="L5" s="1">
        <f>IF(AND(OR(E5=1,E5=0),G5=1),D5,"")</f>
      </c>
      <c r="M5" s="1">
        <f>IF(AND(OR(E5=2,E5=0),G5=1),D5,"")</f>
      </c>
      <c r="N5" s="1">
        <f>IF(AND(OR(E5=3,E5=0),G5=1),D5,"")</f>
      </c>
      <c r="O5" s="1">
        <f>IF(AND(OR(E5=1,E5=0),G5=2),D5,"")</f>
      </c>
      <c r="P5" s="1">
        <f>IF(AND(OR(E5=2,E5=0),G5=2),D5,"")</f>
      </c>
      <c r="Q5" s="1">
        <f>IF(AND(OR(E5=3,E5=0),G5=2),D5,"")</f>
      </c>
      <c r="R5" s="1">
        <f>IF(AND(OR(E5=1,E5=0),G5=3),D5,"")</f>
      </c>
      <c r="S5" s="1">
        <f>IF(AND(OR(E5=2,E5=0),G5=3),D5,"")</f>
      </c>
      <c r="T5" s="1">
        <f>IF(AND(OR(E5=3,E5=0),G5=3),D5,"")</f>
      </c>
      <c r="U5" s="1">
        <f>IF(AND(OR(E5=1,E5=0),G5=1,F5=1),D5,"")</f>
      </c>
      <c r="V5" s="1">
        <f>IF(AND(OR(E5=1,E5=0),G5=2,F5=1),D5,"")</f>
      </c>
      <c r="W5" s="1">
        <f>IF(AND(OR(E5=1,E5=0),G5=3,F5=1),D5,"")</f>
      </c>
      <c r="X5" s="1">
        <f>IF(AND(OR(E5=2,E5=0),G5=1,F5=1),D5,"")</f>
      </c>
      <c r="Y5" s="1">
        <f>IF(AND(OR(E5=2,E5=0),G5=2,F5=1),D5,"")</f>
      </c>
      <c r="Z5" s="1">
        <f>IF(AND(OR(E5=2,E5=0),G5=3,F5=1),D5,"")</f>
      </c>
      <c r="AA5" s="1">
        <f>IF(AND(OR(E5=3,E5=0),G5=1,F5=1),D5,"")</f>
      </c>
      <c r="AB5" s="1">
        <f>IF(AND(OR(E5=3,E5=0),G5=2,F5=1),D5,"")</f>
      </c>
      <c r="AC5" s="1">
        <f>IF(AND(OR(E5=3,E5=0),G5=3,F5=1),D5,"")</f>
      </c>
      <c r="AD5" s="1">
        <f>IF(AND(OR(E5=1,E5=0),G5=1,F5=0),J5,"")</f>
      </c>
      <c r="AE5" s="1">
        <f>IF(AND(OR(E5=1,E5=0),G5=2,F5=0),J5,"")</f>
      </c>
      <c r="AF5" s="1">
        <f>IF(AND(OR(E5=1,E5=0),G5=3,F5=0),J5,"")</f>
      </c>
      <c r="AG5" s="1">
        <f>IF(AND(OR(E5=1,E5=0),G5=1,F5=1),J5,"")</f>
      </c>
      <c r="AH5" s="1">
        <f>IF(AND(OR(E5=1,E5=0),G5=2,F5=1),J5,"")</f>
      </c>
      <c r="AI5" s="1">
        <f>IF(AND(OR(E5=1,E5=0),G5=3,F5=1),J5,"")</f>
      </c>
      <c r="AJ5" s="1">
        <f>IF(AND(OR(E5=2,E5=0),G5=1,F5=0),J5,"")</f>
      </c>
      <c r="AK5" s="1">
        <f>IF(AND(OR(E5=2,E5=0),G5=2,F5=0),J5,"")</f>
      </c>
      <c r="AL5" s="1">
        <f>IF(AND(OR(E5=2,E5=0),G5=3,F5=0),J5,"")</f>
      </c>
      <c r="AM5" s="1">
        <f>IF(AND(OR(E5=2,E5=0),G5=1,F5=1),J5,"")</f>
      </c>
      <c r="AN5" s="1">
        <f>IF(AND(OR(E5=2,E5=0),G5=2,F5=1),J5,"")</f>
      </c>
      <c r="AO5" s="1">
        <f>IF(AND(OR(E5=2,E5=0),G5=3,F5=1),J5,"")</f>
      </c>
      <c r="AP5" s="1">
        <f>IF(AND(OR(E5=3,E5=0),G5=1,F5=0),J5,"")</f>
      </c>
      <c r="AQ5" s="1">
        <f>IF(AND(OR(E5=3,E5=0),G5=2,F5=0),J5,"")</f>
      </c>
      <c r="AR5" s="1">
        <f>IF(AND(OR(E5=3,E5=0),G5=3,F5=0),J5,"")</f>
      </c>
      <c r="AS5" s="1">
        <f>IF(AND(OR(E5=3,E5=0),G5=1,F5=1),J5,"")</f>
      </c>
      <c r="AT5" s="1">
        <f>IF(AND(OR(E5=3,E5=0),G5=2,F5=1),J5,"")</f>
      </c>
      <c r="AU5" s="1">
        <f>IF(AND(OR(E5=3,E5=0),G5=3,F5=1),J5,"")</f>
      </c>
    </row>
    <row customHeight="true" ht="19" r="6">
      <c r="A6" s="99" t="str">
        <v>利用し合うのが友達！（黄毛摸鱼）</v>
      </c>
      <c r="B6" s="99" t="str"/>
      <c r="C6" s="99" t="str"/>
      <c r="D6" s="116">
        <f>IF(路线!B4="计算",持有情况!S112,持有情况!P112)-ROW()*1e-05</f>
      </c>
      <c r="E6" s="117">
        <v>0</v>
      </c>
      <c r="F6" s="117">
        <v>0</v>
      </c>
      <c r="G6" s="116">
        <v>2</v>
      </c>
      <c r="H6" s="116">
        <v>1</v>
      </c>
      <c r="I6" s="1" t="str"/>
      <c r="J6" s="116">
        <f>IF(路线!B4="计算",INT(60+22+21*IF(路线!B38&lt;=3,路线!B38,3)+7*路线!B30+40+20),INT(60+22+21*IF(路线!B38&lt;=3,路线!B38,3)+7*路线!B30+40))-ROW()*1e-05</f>
      </c>
      <c r="L6" s="1">
        <f>IF(AND(OR(E6=1,E6=0),G6=1),D6,"")</f>
      </c>
      <c r="M6" s="1">
        <f>IF(AND(OR(E6=2,E6=0),G6=1),D6,"")</f>
      </c>
      <c r="N6" s="1">
        <f>IF(AND(OR(E6=3,E6=0),G6=1),D6,"")</f>
      </c>
      <c r="O6" s="1">
        <f>IF(AND(OR(E6=1,E6=0),G6=2),D6,"")</f>
      </c>
      <c r="P6" s="1">
        <f>IF(AND(OR(E6=2,E6=0),G6=2),D6,"")</f>
      </c>
      <c r="Q6" s="1">
        <f>IF(AND(OR(E6=3,E6=0),G6=2),D6,"")</f>
      </c>
      <c r="R6" s="1">
        <f>IF(AND(OR(E6=1,E6=0),G6=3),D6,"")</f>
      </c>
      <c r="S6" s="1">
        <f>IF(AND(OR(E6=2,E6=0),G6=3),D6,"")</f>
      </c>
      <c r="T6" s="1">
        <f>IF(AND(OR(E6=3,E6=0),G6=3),D6,"")</f>
      </c>
      <c r="U6" s="1">
        <f>IF(AND(OR(E6=1,E6=0),G6=1,F6=1),D6,"")</f>
      </c>
      <c r="V6" s="1">
        <f>IF(AND(OR(E6=1,E6=0),G6=2,F6=1),D6,"")</f>
      </c>
      <c r="W6" s="1">
        <f>IF(AND(OR(E6=1,E6=0),G6=3,F6=1),D6,"")</f>
      </c>
      <c r="X6" s="1">
        <f>IF(AND(OR(E6=2,E6=0),G6=1,F6=1),D6,"")</f>
      </c>
      <c r="Y6" s="1">
        <f>IF(AND(OR(E6=2,E6=0),G6=2,F6=1),D6,"")</f>
      </c>
      <c r="Z6" s="1">
        <f>IF(AND(OR(E6=2,E6=0),G6=3,F6=1),D6,"")</f>
      </c>
      <c r="AA6" s="1">
        <f>IF(AND(OR(E6=3,E6=0),G6=1,F6=1),D6,"")</f>
      </c>
      <c r="AB6" s="1">
        <f>IF(AND(OR(E6=3,E6=0),G6=2,F6=1),D6,"")</f>
      </c>
      <c r="AC6" s="1">
        <f>IF(AND(OR(E6=3,E6=0),G6=3,F6=1),D6,"")</f>
      </c>
      <c r="AD6" s="1">
        <f>IF(AND(OR(E6=1,E6=0),G6=1,F6=0),J6,"")</f>
      </c>
      <c r="AE6" s="1">
        <f>IF(AND(OR(E6=1,E6=0),G6=2,F6=0),J6,"")</f>
      </c>
      <c r="AF6" s="1">
        <f>IF(AND(OR(E6=1,E6=0),G6=3,F6=0),J6,"")</f>
      </c>
      <c r="AG6" s="1">
        <f>IF(AND(OR(E6=1,E6=0),G6=1,F6=1),J6,"")</f>
      </c>
      <c r="AH6" s="1">
        <f>IF(AND(OR(E6=1,E6=0),G6=2,F6=1),J6,"")</f>
      </c>
      <c r="AI6" s="1">
        <f>IF(AND(OR(E6=1,E6=0),G6=3,F6=1),J6,"")</f>
      </c>
      <c r="AJ6" s="1">
        <f>IF(AND(OR(E6=2,E6=0),G6=1,F6=0),J6,"")</f>
      </c>
      <c r="AK6" s="1">
        <f>IF(AND(OR(E6=2,E6=0),G6=2,F6=0),J6,"")</f>
      </c>
      <c r="AL6" s="1">
        <f>IF(AND(OR(E6=2,E6=0),G6=3,F6=0),J6,"")</f>
      </c>
      <c r="AM6" s="1">
        <f>IF(AND(OR(E6=2,E6=0),G6=1,F6=1),J6,"")</f>
      </c>
      <c r="AN6" s="1">
        <f>IF(AND(OR(E6=2,E6=0),G6=2,F6=1),J6,"")</f>
      </c>
      <c r="AO6" s="1">
        <f>IF(AND(OR(E6=2,E6=0),G6=3,F6=1),J6,"")</f>
      </c>
      <c r="AP6" s="1">
        <f>IF(AND(OR(E6=3,E6=0),G6=1,F6=0),J6,"")</f>
      </c>
      <c r="AQ6" s="1">
        <f>IF(AND(OR(E6=3,E6=0),G6=2,F6=0),J6,"")</f>
      </c>
      <c r="AR6" s="1">
        <f>IF(AND(OR(E6=3,E6=0),G6=3,F6=0),J6,"")</f>
      </c>
      <c r="AS6" s="1">
        <f>IF(AND(OR(E6=3,E6=0),G6=1,F6=1),J6,"")</f>
      </c>
      <c r="AT6" s="1">
        <f>IF(AND(OR(E6=3,E6=0),G6=2,F6=1),J6,"")</f>
      </c>
      <c r="AU6" s="1">
        <f>IF(AND(OR(E6=3,E6=0),G6=3,F6=1),J6,"")</f>
      </c>
    </row>
    <row customHeight="true" ht="19" r="7">
      <c r="A7" s="75" t="str">
        <v>二人ならあっという間だね（红50）</v>
      </c>
      <c r="B7" s="75" t="str"/>
      <c r="C7" s="75" t="str"/>
      <c r="D7" s="116">
        <f>持有情况!F64-ROW()*1e-05</f>
      </c>
      <c r="E7" s="117">
        <v>0</v>
      </c>
      <c r="F7" s="117">
        <v>0</v>
      </c>
      <c r="G7" s="116">
        <v>1</v>
      </c>
      <c r="H7" s="116">
        <v>1</v>
      </c>
      <c r="I7" s="111" t="str">
        <v>红50</v>
      </c>
      <c r="J7" s="116">
        <f>INT((8.5/100)*路线!B11+7*路线!B30+4*(路线!B28+路线!B29)+17*路线!B15+40)-ROW()*1e-05</f>
      </c>
      <c r="L7" s="1">
        <f>IF(AND(OR(E7=1,E7=0),G7=1),D7,"")</f>
      </c>
      <c r="M7" s="1">
        <f>IF(AND(OR(E7=2,E7=0),G7=1),D7,"")</f>
      </c>
      <c r="N7" s="1">
        <f>IF(AND(OR(E7=3,E7=0),G7=1),D7,"")</f>
      </c>
      <c r="O7" s="1">
        <f>IF(AND(OR(E7=1,E7=0),G7=2),D7,"")</f>
      </c>
      <c r="P7" s="1">
        <f>IF(AND(OR(E7=2,E7=0),G7=2),D7,"")</f>
      </c>
      <c r="Q7" s="1">
        <f>IF(AND(OR(E7=3,E7=0),G7=2),D7,"")</f>
      </c>
      <c r="R7" s="1">
        <f>IF(AND(OR(E7=1,E7=0),G7=3),D7,"")</f>
      </c>
      <c r="S7" s="1">
        <f>IF(AND(OR(E7=2,E7=0),G7=3),D7,"")</f>
      </c>
      <c r="T7" s="1">
        <f>IF(AND(OR(E7=3,E7=0),G7=3),D7,"")</f>
      </c>
      <c r="U7" s="1">
        <f>IF(AND(OR(E7=1,E7=0),G7=1,F7=1),D7,"")</f>
      </c>
      <c r="V7" s="1">
        <f>IF(AND(OR(E7=1,E7=0),G7=2,F7=1),D7,"")</f>
      </c>
      <c r="W7" s="1">
        <f>IF(AND(OR(E7=1,E7=0),G7=3,F7=1),D7,"")</f>
      </c>
      <c r="X7" s="1">
        <f>IF(AND(OR(E7=2,E7=0),G7=1,F7=1),D7,"")</f>
      </c>
      <c r="Y7" s="1">
        <f>IF(AND(OR(E7=2,E7=0),G7=2,F7=1),D7,"")</f>
      </c>
      <c r="Z7" s="1">
        <f>IF(AND(OR(E7=2,E7=0),G7=3,F7=1),D7,"")</f>
      </c>
      <c r="AA7" s="1">
        <f>IF(AND(OR(E7=3,E7=0),G7=1,F7=1),D7,"")</f>
      </c>
      <c r="AB7" s="1">
        <f>IF(AND(OR(E7=3,E7=0),G7=2,F7=1),D7,"")</f>
      </c>
      <c r="AC7" s="1">
        <f>IF(AND(OR(E7=3,E7=0),G7=3,F7=1),D7,"")</f>
      </c>
      <c r="AD7" s="1">
        <f>IF(AND(OR(E7=1,E7=0),G7=1,F7=0),J7,"")</f>
      </c>
      <c r="AE7" s="1">
        <f>IF(AND(OR(E7=1,E7=0),G7=2,F7=0),J7,"")</f>
      </c>
      <c r="AF7" s="1">
        <f>IF(AND(OR(E7=1,E7=0),G7=3,F7=0),J7,"")</f>
      </c>
      <c r="AG7" s="1">
        <f>IF(AND(OR(E7=1,E7=0),G7=1,F7=1),J7,"")</f>
      </c>
      <c r="AH7" s="1">
        <f>IF(AND(OR(E7=1,E7=0),G7=2,F7=1),J7,"")</f>
      </c>
      <c r="AI7" s="1">
        <f>IF(AND(OR(E7=1,E7=0),G7=3,F7=1),J7,"")</f>
      </c>
      <c r="AJ7" s="1">
        <f>IF(AND(OR(E7=2,E7=0),G7=1,F7=0),J7,"")</f>
      </c>
      <c r="AK7" s="1">
        <f>IF(AND(OR(E7=2,E7=0),G7=2,F7=0),J7,"")</f>
      </c>
      <c r="AL7" s="1">
        <f>IF(AND(OR(E7=2,E7=0),G7=3,F7=0),J7,"")</f>
      </c>
      <c r="AM7" s="1">
        <f>IF(AND(OR(E7=2,E7=0),G7=1,F7=1),J7,"")</f>
      </c>
      <c r="AN7" s="1">
        <f>IF(AND(OR(E7=2,E7=0),G7=2,F7=1),J7,"")</f>
      </c>
      <c r="AO7" s="1">
        <f>IF(AND(OR(E7=2,E7=0),G7=3,F7=1),J7,"")</f>
      </c>
      <c r="AP7" s="1">
        <f>IF(AND(OR(E7=3,E7=0),G7=1,F7=0),J7,"")</f>
      </c>
      <c r="AQ7" s="1">
        <f>IF(AND(OR(E7=3,E7=0),G7=2,F7=0),J7,"")</f>
      </c>
      <c r="AR7" s="1">
        <f>IF(AND(OR(E7=3,E7=0),G7=3,F7=0),J7,"")</f>
      </c>
      <c r="AS7" s="1">
        <f>IF(AND(OR(E7=3,E7=0),G7=1,F7=1),J7,"")</f>
      </c>
      <c r="AT7" s="1">
        <f>IF(AND(OR(E7=3,E7=0),G7=2,F7=1),J7,"")</f>
      </c>
      <c r="AU7" s="1">
        <f>IF(AND(OR(E7=3,E7=0),G7=3,F7=1),J7,"")</f>
      </c>
    </row>
    <row customHeight="true" ht="19" r="8">
      <c r="A8" s="86" t="str">
        <v>ぜったい追いついてやる！（红叶）</v>
      </c>
      <c r="B8" s="86" t="str"/>
      <c r="C8" s="86" t="str"/>
      <c r="D8" s="116">
        <f>持有情况!Z76-ROW()*1e-05</f>
      </c>
      <c r="E8" s="117">
        <v>0</v>
      </c>
      <c r="F8" s="117">
        <v>0</v>
      </c>
      <c r="G8" s="116">
        <v>3</v>
      </c>
      <c r="H8" s="116">
        <v>1</v>
      </c>
      <c r="I8" s="111" t="str">
        <v>红叶</v>
      </c>
      <c r="J8" s="116">
        <f>IF(路线!C6="计算",INT((8.5/100)*路线!B11+7*路线!B30+4*(路线!B28+路线!B29)+17*路线!B15+40+20)-ROW()*1e-05,INT((8.5/100)*路线!B11+7*路线!B30+4*(路线!B28+路线!B29)+17*路线!B15+40)-ROW()*1e-05)</f>
      </c>
      <c r="L8" s="1">
        <f>IF(AND(OR(E8=1,E8=0),G8=1),D8,"")</f>
      </c>
      <c r="M8" s="1">
        <f>IF(AND(OR(E8=2,E8=0),G8=1),D8,"")</f>
      </c>
      <c r="N8" s="1">
        <f>IF(AND(OR(E8=3,E8=0),G8=1),D8,"")</f>
      </c>
      <c r="O8" s="1">
        <f>IF(AND(OR(E8=1,E8=0),G8=2),D8,"")</f>
      </c>
      <c r="P8" s="1">
        <f>IF(AND(OR(E8=2,E8=0),G8=2),D8,"")</f>
      </c>
      <c r="Q8" s="1">
        <f>IF(AND(OR(E8=3,E8=0),G8=2),D8,"")</f>
      </c>
      <c r="R8" s="1">
        <f>IF(AND(OR(E8=1,E8=0),G8=3),D8,"")</f>
      </c>
      <c r="S8" s="1">
        <f>IF(AND(OR(E8=2,E8=0),G8=3),D8,"")</f>
      </c>
      <c r="T8" s="1">
        <f>IF(AND(OR(E8=3,E8=0),G8=3),D8,"")</f>
      </c>
      <c r="U8" s="1">
        <f>IF(AND(OR(E8=1,E8=0),G8=1,F8=1),D8,"")</f>
      </c>
      <c r="V8" s="1">
        <f>IF(AND(OR(E8=1,E8=0),G8=2,F8=1),D8,"")</f>
      </c>
      <c r="W8" s="1">
        <f>IF(AND(OR(E8=1,E8=0),G8=3,F8=1),D8,"")</f>
      </c>
      <c r="X8" s="1">
        <f>IF(AND(OR(E8=2,E8=0),G8=1,F8=1),D8,"")</f>
      </c>
      <c r="Y8" s="1">
        <f>IF(AND(OR(E8=2,E8=0),G8=2,F8=1),D8,"")</f>
      </c>
      <c r="Z8" s="1">
        <f>IF(AND(OR(E8=2,E8=0),G8=3,F8=1),D8,"")</f>
      </c>
      <c r="AA8" s="1">
        <f>IF(AND(OR(E8=3,E8=0),G8=1,F8=1),D8,"")</f>
      </c>
      <c r="AB8" s="1">
        <f>IF(AND(OR(E8=3,E8=0),G8=2,F8=1),D8,"")</f>
      </c>
      <c r="AC8" s="1">
        <f>IF(AND(OR(E8=3,E8=0),G8=3,F8=1),D8,"")</f>
      </c>
      <c r="AD8" s="1">
        <f>IF(AND(OR(E8=1,E8=0),G8=1,F8=0),J8,"")</f>
      </c>
      <c r="AE8" s="1">
        <f>IF(AND(OR(E8=1,E8=0),G8=2,F8=0),J8,"")</f>
      </c>
      <c r="AF8" s="1">
        <f>IF(AND(OR(E8=1,E8=0),G8=3,F8=0),J8,"")</f>
      </c>
      <c r="AG8" s="1">
        <f>IF(AND(OR(E8=1,E8=0),G8=1,F8=1),J8,"")</f>
      </c>
      <c r="AH8" s="1">
        <f>IF(AND(OR(E8=1,E8=0),G8=2,F8=1),J8,"")</f>
      </c>
      <c r="AI8" s="1">
        <f>IF(AND(OR(E8=1,E8=0),G8=3,F8=1),J8,"")</f>
      </c>
      <c r="AJ8" s="1">
        <f>IF(AND(OR(E8=2,E8=0),G8=1,F8=0),J8,"")</f>
      </c>
      <c r="AK8" s="1">
        <f>IF(AND(OR(E8=2,E8=0),G8=2,F8=0),J8,"")</f>
      </c>
      <c r="AL8" s="1">
        <f>IF(AND(OR(E8=2,E8=0),G8=3,F8=0),J8,"")</f>
      </c>
      <c r="AM8" s="1">
        <f>IF(AND(OR(E8=2,E8=0),G8=1,F8=1),J8,"")</f>
      </c>
      <c r="AN8" s="1">
        <f>IF(AND(OR(E8=2,E8=0),G8=2,F8=1),J8,"")</f>
      </c>
      <c r="AO8" s="1">
        <f>IF(AND(OR(E8=2,E8=0),G8=3,F8=1),J8,"")</f>
      </c>
      <c r="AP8" s="1">
        <f>IF(AND(OR(E8=3,E8=0),G8=1,F8=0),J8,"")</f>
      </c>
      <c r="AQ8" s="1">
        <f>IF(AND(OR(E8=3,E8=0),G8=2,F8=0),J8,"")</f>
      </c>
      <c r="AR8" s="1">
        <f>IF(AND(OR(E8=3,E8=0),G8=3,F8=0),J8,"")</f>
      </c>
      <c r="AS8" s="1">
        <f>IF(AND(OR(E8=3,E8=0),G8=1,F8=1),J8,"")</f>
      </c>
      <c r="AT8" s="1">
        <f>IF(AND(OR(E8=3,E8=0),G8=2,F8=1),J8,"")</f>
      </c>
      <c r="AU8" s="1">
        <f>IF(AND(OR(E8=3,E8=0),G8=3,F8=1),J8,"")</f>
      </c>
    </row>
    <row customHeight="true" ht="19" r="9">
      <c r="A9" s="86" t="str">
        <v>相手にとって不足なしよ！（对战）</v>
      </c>
      <c r="B9" s="86" t="str"/>
      <c r="C9" s="86" t="str"/>
      <c r="D9" s="116">
        <f>持有情况!Z106-ROW()*1e-05</f>
      </c>
      <c r="E9" s="116">
        <v>3</v>
      </c>
      <c r="F9" s="116">
        <v>1</v>
      </c>
      <c r="G9" s="116">
        <v>3</v>
      </c>
      <c r="H9" s="116">
        <v>1</v>
      </c>
      <c r="I9" s="111" t="str">
        <v>对战</v>
      </c>
      <c r="J9" s="116">
        <f>IF(路线!C6="计算",INT(60+17*路线!B15+22*IF(路线!B36&lt;=3,路线!B36,3)+40+20)-ROW()*1e-05,INT(60+17*路线!B15+22*IF(路线!B36&lt;=3,路线!B36,3)+40)-ROW()*1e-05)</f>
      </c>
      <c r="L9" s="1">
        <f>IF(AND(OR(E9=1,E9=0),G9=1),D9,"")</f>
      </c>
      <c r="M9" s="1">
        <f>IF(AND(OR(E9=2,E9=0),G9=1),D9,"")</f>
      </c>
      <c r="N9" s="1">
        <f>IF(AND(OR(E9=3,E9=0),G9=1),D9,"")</f>
      </c>
      <c r="O9" s="1">
        <f>IF(AND(OR(E9=1,E9=0),G9=2),D9,"")</f>
      </c>
      <c r="P9" s="1">
        <f>IF(AND(OR(E9=2,E9=0),G9=2),D9,"")</f>
      </c>
      <c r="Q9" s="1">
        <f>IF(AND(OR(E9=3,E9=0),G9=2),D9,"")</f>
      </c>
      <c r="R9" s="1">
        <f>IF(AND(OR(E9=1,E9=0),G9=3),D9,"")</f>
      </c>
      <c r="S9" s="1">
        <f>IF(AND(OR(E9=2,E9=0),G9=3),D9,"")</f>
      </c>
      <c r="T9" s="1">
        <f>IF(AND(OR(E9=3,E9=0),G9=3),D9,"")</f>
      </c>
      <c r="U9" s="1">
        <f>IF(AND(OR(E9=1,E9=0),G9=1,F9=1),D9,"")</f>
      </c>
      <c r="V9" s="1">
        <f>IF(AND(OR(E9=1,E9=0),G9=2,F9=1),D9,"")</f>
      </c>
      <c r="W9" s="1">
        <f>IF(AND(OR(E9=1,E9=0),G9=3,F9=1),D9,"")</f>
      </c>
      <c r="X9" s="1">
        <f>IF(AND(OR(E9=2,E9=0),G9=1,F9=1),D9,"")</f>
      </c>
      <c r="Y9" s="1">
        <f>IF(AND(OR(E9=2,E9=0),G9=2,F9=1),D9,"")</f>
      </c>
      <c r="Z9" s="1">
        <f>IF(AND(OR(E9=2,E9=0),G9=3,F9=1),D9,"")</f>
      </c>
      <c r="AA9" s="1">
        <f>IF(AND(OR(E9=3,E9=0),G9=1,F9=1),D9,"")</f>
      </c>
      <c r="AB9" s="1">
        <f>IF(AND(OR(E9=3,E9=0),G9=2,F9=1),D9,"")</f>
      </c>
      <c r="AC9" s="1">
        <f>IF(AND(OR(E9=3,E9=0),G9=3,F9=1),D9,"")</f>
      </c>
      <c r="AD9" s="1">
        <f>IF(AND(OR(E9=1,E9=0),G9=1,F9=0),J9,"")</f>
      </c>
      <c r="AE9" s="1">
        <f>IF(AND(OR(E9=1,E9=0),G9=2,F9=0),J9,"")</f>
      </c>
      <c r="AF9" s="1">
        <f>IF(AND(OR(E9=1,E9=0),G9=3,F9=0),J9,"")</f>
      </c>
      <c r="AG9" s="1">
        <f>IF(AND(OR(E9=1,E9=0),G9=1,F9=1),J9,"")</f>
      </c>
      <c r="AH9" s="1">
        <f>IF(AND(OR(E9=1,E9=0),G9=2,F9=1),J9,"")</f>
      </c>
      <c r="AI9" s="1">
        <f>IF(AND(OR(E9=1,E9=0),G9=3,F9=1),J9,"")</f>
      </c>
      <c r="AJ9" s="1">
        <f>IF(AND(OR(E9=2,E9=0),G9=1,F9=0),J9,"")</f>
      </c>
      <c r="AK9" s="1">
        <f>IF(AND(OR(E9=2,E9=0),G9=2,F9=0),J9,"")</f>
      </c>
      <c r="AL9" s="1">
        <f>IF(AND(OR(E9=2,E9=0),G9=3,F9=0),J9,"")</f>
      </c>
      <c r="AM9" s="1">
        <f>IF(AND(OR(E9=2,E9=0),G9=1,F9=1),J9,"")</f>
      </c>
      <c r="AN9" s="1">
        <f>IF(AND(OR(E9=2,E9=0),G9=2,F9=1),J9,"")</f>
      </c>
      <c r="AO9" s="1">
        <f>IF(AND(OR(E9=2,E9=0),G9=3,F9=1),J9,"")</f>
      </c>
      <c r="AP9" s="1">
        <f>IF(AND(OR(E9=3,E9=0),G9=1,F9=0),J9,"")</f>
      </c>
      <c r="AQ9" s="1">
        <f>IF(AND(OR(E9=3,E9=0),G9=2,F9=0),J9,"")</f>
      </c>
      <c r="AR9" s="1">
        <f>IF(AND(OR(E9=3,E9=0),G9=3,F9=0),J9,"")</f>
      </c>
      <c r="AS9" s="1">
        <f>IF(AND(OR(E9=3,E9=0),G9=1,F9=1),J9,"")</f>
      </c>
      <c r="AT9" s="1">
        <f>IF(AND(OR(E9=3,E9=0),G9=2,F9=1),J9,"")</f>
      </c>
      <c r="AU9" s="1">
        <f>IF(AND(OR(E9=3,E9=0),G9=3,F9=1),J9,"")</f>
      </c>
    </row>
    <row customHeight="true" ht="19" r="10">
      <c r="A10" s="91" t="str">
        <v>もう一度、最初から！（fes1）</v>
      </c>
      <c r="B10" s="75" t="str"/>
      <c r="C10" s="75" t="str"/>
      <c r="D10" s="116">
        <f>持有情况!F76-ROW()*1e-05</f>
      </c>
      <c r="E10" s="116">
        <v>1</v>
      </c>
      <c r="F10" s="116">
        <v>1</v>
      </c>
      <c r="G10" s="116">
        <v>1</v>
      </c>
      <c r="H10" s="116">
        <v>1</v>
      </c>
      <c r="I10" s="111" t="str">
        <v>fes1</v>
      </c>
      <c r="J10" s="116">
        <f>IF(路线!C6="计算",INT((8.5/100)*路线!B11+17*路线!B15+7*路线!B30+40+20)-ROW()*1e-05,INT((8.5/100)*路线!B11+17*路线!B15+7*路线!B30+40)-ROW()*1e-05)</f>
      </c>
      <c r="L10" s="1">
        <f>IF(AND(OR(E10=1,E10=0),G10=1),D10,"")</f>
      </c>
      <c r="M10" s="1">
        <f>IF(AND(OR(E10=2,E10=0),G10=1),D10,"")</f>
      </c>
      <c r="N10" s="1">
        <f>IF(AND(OR(E10=3,E10=0),G10=1),D10,"")</f>
      </c>
      <c r="O10" s="1">
        <f>IF(AND(OR(E10=1,E10=0),G10=2),D10,"")</f>
      </c>
      <c r="P10" s="1">
        <f>IF(AND(OR(E10=2,E10=0),G10=2),D10,"")</f>
      </c>
      <c r="Q10" s="1">
        <f>IF(AND(OR(E10=3,E10=0),G10=2),D10,"")</f>
      </c>
      <c r="R10" s="1">
        <f>IF(AND(OR(E10=1,E10=0),G10=3),D10,"")</f>
      </c>
      <c r="S10" s="1">
        <f>IF(AND(OR(E10=2,E10=0),G10=3),D10,"")</f>
      </c>
      <c r="T10" s="1">
        <f>IF(AND(OR(E10=3,E10=0),G10=3),D10,"")</f>
      </c>
      <c r="U10" s="1">
        <f>IF(AND(OR(E10=1,E10=0),G10=1,F10=1),D10,"")</f>
      </c>
      <c r="V10" s="1">
        <f>IF(AND(OR(E10=1,E10=0),G10=2,F10=1),D10,"")</f>
      </c>
      <c r="W10" s="1">
        <f>IF(AND(OR(E10=1,E10=0),G10=3,F10=1),D10,"")</f>
      </c>
      <c r="X10" s="1">
        <f>IF(AND(OR(E10=2,E10=0),G10=1,F10=1),D10,"")</f>
      </c>
      <c r="Y10" s="1">
        <f>IF(AND(OR(E10=2,E10=0),G10=2,F10=1),D10,"")</f>
      </c>
      <c r="Z10" s="1">
        <f>IF(AND(OR(E10=2,E10=0),G10=3,F10=1),D10,"")</f>
      </c>
      <c r="AA10" s="1">
        <f>IF(AND(OR(E10=3,E10=0),G10=1,F10=1),D10,"")</f>
      </c>
      <c r="AB10" s="1">
        <f>IF(AND(OR(E10=3,E10=0),G10=2,F10=1),D10,"")</f>
      </c>
      <c r="AC10" s="1">
        <f>IF(AND(OR(E10=3,E10=0),G10=3,F10=1),D10,"")</f>
      </c>
      <c r="AD10" s="1">
        <f>IF(AND(OR(E10=1,E10=0),G10=1,F10=0),J10,"")</f>
      </c>
      <c r="AE10" s="1">
        <f>IF(AND(OR(E10=1,E10=0),G10=2,F10=0),J10,"")</f>
      </c>
      <c r="AF10" s="1">
        <f>IF(AND(OR(E10=1,E10=0),G10=3,F10=0),J10,"")</f>
      </c>
      <c r="AG10" s="1">
        <f>IF(AND(OR(E10=1,E10=0),G10=1,F10=1),J10,"")</f>
      </c>
      <c r="AH10" s="1">
        <f>IF(AND(OR(E10=1,E10=0),G10=2,F10=1),J10,"")</f>
      </c>
      <c r="AI10" s="1">
        <f>IF(AND(OR(E10=1,E10=0),G10=3,F10=1),J10,"")</f>
      </c>
      <c r="AJ10" s="1">
        <f>IF(AND(OR(E10=2,E10=0),G10=1,F10=0),J10,"")</f>
      </c>
      <c r="AK10" s="1">
        <f>IF(AND(OR(E10=2,E10=0),G10=2,F10=0),J10,"")</f>
      </c>
      <c r="AL10" s="1">
        <f>IF(AND(OR(E10=2,E10=0),G10=3,F10=0),J10,"")</f>
      </c>
      <c r="AM10" s="1">
        <f>IF(AND(OR(E10=2,E10=0),G10=1,F10=1),J10,"")</f>
      </c>
      <c r="AN10" s="1">
        <f>IF(AND(OR(E10=2,E10=0),G10=2,F10=1),J10,"")</f>
      </c>
      <c r="AO10" s="1">
        <f>IF(AND(OR(E10=2,E10=0),G10=3,F10=1),J10,"")</f>
      </c>
      <c r="AP10" s="1">
        <f>IF(AND(OR(E10=3,E10=0),G10=1,F10=0),J10,"")</f>
      </c>
      <c r="AQ10" s="1">
        <f>IF(AND(OR(E10=3,E10=0),G10=2,F10=0),J10,"")</f>
      </c>
      <c r="AR10" s="1">
        <f>IF(AND(OR(E10=3,E10=0),G10=3,F10=0),J10,"")</f>
      </c>
      <c r="AS10" s="1">
        <f>IF(AND(OR(E10=3,E10=0),G10=1,F10=1),J10,"")</f>
      </c>
      <c r="AT10" s="1">
        <f>IF(AND(OR(E10=3,E10=0),G10=2,F10=1),J10,"")</f>
      </c>
      <c r="AU10" s="1">
        <f>IF(AND(OR(E10=3,E10=0),G10=3,F10=1),J10,"")</f>
      </c>
    </row>
    <row customHeight="true" ht="19" r="11">
      <c r="A11" s="99" t="str">
        <v>これが私達の、3年間（蓝书签）</v>
      </c>
      <c r="B11" s="99" t="str"/>
      <c r="C11" s="99" t="str"/>
      <c r="D11" s="116">
        <f>持有情况!P88-ROW()*1e-05</f>
      </c>
      <c r="E11" s="117">
        <v>0</v>
      </c>
      <c r="F11" s="117">
        <v>0</v>
      </c>
      <c r="G11" s="116">
        <v>2</v>
      </c>
      <c r="H11" s="117">
        <v>0</v>
      </c>
      <c r="I11" s="1" t="str"/>
      <c r="J11" s="116">
        <f>INT((8.5/100)*路线!B11+17*路线!B15+7*路线!B30+40)-ROW()*1e-05</f>
      </c>
      <c r="L11" s="1">
        <f>IF(AND(OR(E11=1,E11=0),G11=1),D11,"")</f>
      </c>
      <c r="M11" s="1">
        <f>IF(AND(OR(E11=2,E11=0),G11=1),D11,"")</f>
      </c>
      <c r="N11" s="1">
        <f>IF(AND(OR(E11=3,E11=0),G11=1),D11,"")</f>
      </c>
      <c r="O11" s="1">
        <f>IF(AND(OR(E11=1,E11=0),G11=2),D11,"")</f>
      </c>
      <c r="P11" s="1">
        <f>IF(AND(OR(E11=2,E11=0),G11=2),D11,"")</f>
      </c>
      <c r="Q11" s="1">
        <f>IF(AND(OR(E11=3,E11=0),G11=2),D11,"")</f>
      </c>
      <c r="R11" s="1">
        <f>IF(AND(OR(E11=1,E11=0),G11=3),D11,"")</f>
      </c>
      <c r="S11" s="1">
        <f>IF(AND(OR(E11=2,E11=0),G11=3),D11,"")</f>
      </c>
      <c r="T11" s="1">
        <f>IF(AND(OR(E11=3,E11=0),G11=3),D11,"")</f>
      </c>
      <c r="U11" s="1">
        <f>IF(AND(OR(E11=1,E11=0),G11=1,F11=1),D11,"")</f>
      </c>
      <c r="V11" s="1">
        <f>IF(AND(OR(E11=1,E11=0),G11=2,F11=1),D11,"")</f>
      </c>
      <c r="W11" s="1">
        <f>IF(AND(OR(E11=1,E11=0),G11=3,F11=1),D11,"")</f>
      </c>
      <c r="X11" s="1">
        <f>IF(AND(OR(E11=2,E11=0),G11=1,F11=1),D11,"")</f>
      </c>
      <c r="Y11" s="1">
        <f>IF(AND(OR(E11=2,E11=0),G11=2,F11=1),D11,"")</f>
      </c>
      <c r="Z11" s="1">
        <f>IF(AND(OR(E11=2,E11=0),G11=3,F11=1),D11,"")</f>
      </c>
      <c r="AA11" s="1">
        <f>IF(AND(OR(E11=3,E11=0),G11=1,F11=1),D11,"")</f>
      </c>
      <c r="AB11" s="1">
        <f>IF(AND(OR(E11=3,E11=0),G11=2,F11=1),D11,"")</f>
      </c>
      <c r="AC11" s="1">
        <f>IF(AND(OR(E11=3,E11=0),G11=3,F11=1),D11,"")</f>
      </c>
      <c r="AD11" s="1">
        <f>IF(AND(OR(E11=1,E11=0),G11=1,F11=0),J11,"")</f>
      </c>
      <c r="AE11" s="1">
        <f>IF(AND(OR(E11=1,E11=0),G11=2,F11=0),J11,"")</f>
      </c>
      <c r="AF11" s="1">
        <f>IF(AND(OR(E11=1,E11=0),G11=3,F11=0),J11,"")</f>
      </c>
      <c r="AG11" s="1">
        <f>IF(AND(OR(E11=1,E11=0),G11=1,F11=1),J11,"")</f>
      </c>
      <c r="AH11" s="1">
        <f>IF(AND(OR(E11=1,E11=0),G11=2,F11=1),J11,"")</f>
      </c>
      <c r="AI11" s="1">
        <f>IF(AND(OR(E11=1,E11=0),G11=3,F11=1),J11,"")</f>
      </c>
      <c r="AJ11" s="1">
        <f>IF(AND(OR(E11=2,E11=0),G11=1,F11=0),J11,"")</f>
      </c>
      <c r="AK11" s="1">
        <f>IF(AND(OR(E11=2,E11=0),G11=2,F11=0),J11,"")</f>
      </c>
      <c r="AL11" s="1">
        <f>IF(AND(OR(E11=2,E11=0),G11=3,F11=0),J11,"")</f>
      </c>
      <c r="AM11" s="1">
        <f>IF(AND(OR(E11=2,E11=0),G11=1,F11=1),J11,"")</f>
      </c>
      <c r="AN11" s="1">
        <f>IF(AND(OR(E11=2,E11=0),G11=2,F11=1),J11,"")</f>
      </c>
      <c r="AO11" s="1">
        <f>IF(AND(OR(E11=2,E11=0),G11=3,F11=1),J11,"")</f>
      </c>
      <c r="AP11" s="1">
        <f>IF(AND(OR(E11=3,E11=0),G11=1,F11=0),J11,"")</f>
      </c>
      <c r="AQ11" s="1">
        <f>IF(AND(OR(E11=3,E11=0),G11=2,F11=0),J11,"")</f>
      </c>
      <c r="AR11" s="1">
        <f>IF(AND(OR(E11=3,E11=0),G11=3,F11=0),J11,"")</f>
      </c>
      <c r="AS11" s="1">
        <f>IF(AND(OR(E11=3,E11=0),G11=1,F11=1),J11,"")</f>
      </c>
      <c r="AT11" s="1">
        <f>IF(AND(OR(E11=3,E11=0),G11=2,F11=1),J11,"")</f>
      </c>
      <c r="AU11" s="1">
        <f>IF(AND(OR(E11=3,E11=0),G11=3,F11=1),J11,"")</f>
      </c>
    </row>
    <row customHeight="true" ht="19" r="12">
      <c r="A12" s="86" t="str">
        <v>会長、準備は万端です（准备万端）</v>
      </c>
      <c r="B12" s="86" t="str"/>
      <c r="C12" s="86" t="str"/>
      <c r="D12" s="116">
        <f>持有情况!Z70-ROW()*1e-05</f>
      </c>
      <c r="E12" s="116">
        <v>2</v>
      </c>
      <c r="F12" s="117">
        <v>0</v>
      </c>
      <c r="G12" s="116">
        <v>3</v>
      </c>
      <c r="H12" s="117">
        <v>0</v>
      </c>
      <c r="I12" s="1" t="str"/>
      <c r="J12" s="116">
        <f>INT((8.5/100)*路线!B11+9*路线!B29+15*路线!B31+40)-ROW()*1e-05</f>
      </c>
      <c r="L12" s="1">
        <f>IF(AND(OR(E12=1,E12=0),G12=1),D12,"")</f>
      </c>
      <c r="M12" s="1">
        <f>IF(AND(OR(E12=2,E12=0),G12=1),D12,"")</f>
      </c>
      <c r="N12" s="1">
        <f>IF(AND(OR(E12=3,E12=0),G12=1),D12,"")</f>
      </c>
      <c r="O12" s="1">
        <f>IF(AND(OR(E12=1,E12=0),G12=2),D12,"")</f>
      </c>
      <c r="P12" s="1">
        <f>IF(AND(OR(E12=2,E12=0),G12=2),D12,"")</f>
      </c>
      <c r="Q12" s="1">
        <f>IF(AND(OR(E12=3,E12=0),G12=2),D12,"")</f>
      </c>
      <c r="R12" s="1">
        <f>IF(AND(OR(E12=1,E12=0),G12=3),D12,"")</f>
      </c>
      <c r="S12" s="1">
        <f>IF(AND(OR(E12=2,E12=0),G12=3),D12,"")</f>
      </c>
      <c r="T12" s="1">
        <f>IF(AND(OR(E12=3,E12=0),G12=3),D12,"")</f>
      </c>
      <c r="U12" s="1">
        <f>IF(AND(OR(E12=1,E12=0),G12=1,F12=1),D12,"")</f>
      </c>
      <c r="V12" s="1">
        <f>IF(AND(OR(E12=1,E12=0),G12=2,F12=1),D12,"")</f>
      </c>
      <c r="W12" s="1">
        <f>IF(AND(OR(E12=1,E12=0),G12=3,F12=1),D12,"")</f>
      </c>
      <c r="X12" s="1">
        <f>IF(AND(OR(E12=2,E12=0),G12=1,F12=1),D12,"")</f>
      </c>
      <c r="Y12" s="1">
        <f>IF(AND(OR(E12=2,E12=0),G12=2,F12=1),D12,"")</f>
      </c>
      <c r="Z12" s="1">
        <f>IF(AND(OR(E12=2,E12=0),G12=3,F12=1),D12,"")</f>
      </c>
      <c r="AA12" s="1">
        <f>IF(AND(OR(E12=3,E12=0),G12=1,F12=1),D12,"")</f>
      </c>
      <c r="AB12" s="1">
        <f>IF(AND(OR(E12=3,E12=0),G12=2,F12=1),D12,"")</f>
      </c>
      <c r="AC12" s="1">
        <f>IF(AND(OR(E12=3,E12=0),G12=3,F12=1),D12,"")</f>
      </c>
      <c r="AD12" s="1">
        <f>IF(AND(OR(E12=1,E12=0),G12=1,F12=0),J12,"")</f>
      </c>
      <c r="AE12" s="1">
        <f>IF(AND(OR(E12=1,E12=0),G12=2,F12=0),J12,"")</f>
      </c>
      <c r="AF12" s="1">
        <f>IF(AND(OR(E12=1,E12=0),G12=3,F12=0),J12,"")</f>
      </c>
      <c r="AG12" s="1">
        <f>IF(AND(OR(E12=1,E12=0),G12=1,F12=1),J12,"")</f>
      </c>
      <c r="AH12" s="1">
        <f>IF(AND(OR(E12=1,E12=0),G12=2,F12=1),J12,"")</f>
      </c>
      <c r="AI12" s="1">
        <f>IF(AND(OR(E12=1,E12=0),G12=3,F12=1),J12,"")</f>
      </c>
      <c r="AJ12" s="1">
        <f>IF(AND(OR(E12=2,E12=0),G12=1,F12=0),J12,"")</f>
      </c>
      <c r="AK12" s="1">
        <f>IF(AND(OR(E12=2,E12=0),G12=2,F12=0),J12,"")</f>
      </c>
      <c r="AL12" s="1">
        <f>IF(AND(OR(E12=2,E12=0),G12=3,F12=0),J12,"")</f>
      </c>
      <c r="AM12" s="1">
        <f>IF(AND(OR(E12=2,E12=0),G12=1,F12=1),J12,"")</f>
      </c>
      <c r="AN12" s="1">
        <f>IF(AND(OR(E12=2,E12=0),G12=2,F12=1),J12,"")</f>
      </c>
      <c r="AO12" s="1">
        <f>IF(AND(OR(E12=2,E12=0),G12=3,F12=1),J12,"")</f>
      </c>
      <c r="AP12" s="1">
        <f>IF(AND(OR(E12=3,E12=0),G12=1,F12=0),J12,"")</f>
      </c>
      <c r="AQ12" s="1">
        <f>IF(AND(OR(E12=3,E12=0),G12=2,F12=0),J12,"")</f>
      </c>
      <c r="AR12" s="1">
        <f>IF(AND(OR(E12=3,E12=0),G12=3,F12=0),J12,"")</f>
      </c>
      <c r="AS12" s="1">
        <f>IF(AND(OR(E12=3,E12=0),G12=1,F12=1),J12,"")</f>
      </c>
      <c r="AT12" s="1">
        <f>IF(AND(OR(E12=3,E12=0),G12=2,F12=1),J12,"")</f>
      </c>
      <c r="AU12" s="1">
        <f>IF(AND(OR(E12=3,E12=0),G12=3,F12=1),J12,"")</f>
      </c>
    </row>
    <row customHeight="true" ht="19" r="13">
      <c r="A13" s="86" t="str">
        <v>バレンタイン♡会議中ーっ！（情人节会议）</v>
      </c>
      <c r="B13" s="86" t="str"/>
      <c r="C13" s="86" t="str"/>
      <c r="D13" s="116">
        <f>持有情况!Z94-ROW()*1e-05</f>
      </c>
      <c r="E13" s="116">
        <v>3</v>
      </c>
      <c r="F13" s="117">
        <v>0</v>
      </c>
      <c r="G13" s="116">
        <v>3</v>
      </c>
      <c r="H13" s="116">
        <v>1</v>
      </c>
      <c r="I13" s="111" t="str">
        <v>情人节会议</v>
      </c>
      <c r="J13" s="116">
        <f>IF(路线!C6="计算",INT((8.5/100)*路线!B11+11*路线!B35+9*路线!B28+17*路线!B15+40+20)-ROW()*1e-05,INT((8.5/100)*路线!B11+11*路线!B35+9*路线!B28+17*路线!B15+40)-ROW()*1e-05)</f>
      </c>
      <c r="L13" s="1">
        <f>IF(AND(OR(E13=1,E13=0),G13=1),D13,"")</f>
      </c>
      <c r="M13" s="1">
        <f>IF(AND(OR(E13=2,E13=0),G13=1),D13,"")</f>
      </c>
      <c r="N13" s="1">
        <f>IF(AND(OR(E13=3,E13=0),G13=1),D13,"")</f>
      </c>
      <c r="O13" s="1">
        <f>IF(AND(OR(E13=1,E13=0),G13=2),D13,"")</f>
      </c>
      <c r="P13" s="1">
        <f>IF(AND(OR(E13=2,E13=0),G13=2),D13,"")</f>
      </c>
      <c r="Q13" s="1">
        <f>IF(AND(OR(E13=3,E13=0),G13=2),D13,"")</f>
      </c>
      <c r="R13" s="1">
        <f>IF(AND(OR(E13=1,E13=0),G13=3),D13,"")</f>
      </c>
      <c r="S13" s="1">
        <f>IF(AND(OR(E13=2,E13=0),G13=3),D13,"")</f>
      </c>
      <c r="T13" s="1">
        <f>IF(AND(OR(E13=3,E13=0),G13=3),D13,"")</f>
      </c>
      <c r="U13" s="1">
        <f>IF(AND(OR(E13=1,E13=0),G13=1,F13=1),D13,"")</f>
      </c>
      <c r="V13" s="1">
        <f>IF(AND(OR(E13=1,E13=0),G13=2,F13=1),D13,"")</f>
      </c>
      <c r="W13" s="1">
        <f>IF(AND(OR(E13=1,E13=0),G13=3,F13=1),D13,"")</f>
      </c>
      <c r="X13" s="1">
        <f>IF(AND(OR(E13=2,E13=0),G13=1,F13=1),D13,"")</f>
      </c>
      <c r="Y13" s="1">
        <f>IF(AND(OR(E13=2,E13=0),G13=2,F13=1),D13,"")</f>
      </c>
      <c r="Z13" s="1">
        <f>IF(AND(OR(E13=2,E13=0),G13=3,F13=1),D13,"")</f>
      </c>
      <c r="AA13" s="1">
        <f>IF(AND(OR(E13=3,E13=0),G13=1,F13=1),D13,"")</f>
      </c>
      <c r="AB13" s="1">
        <f>IF(AND(OR(E13=3,E13=0),G13=2,F13=1),D13,"")</f>
      </c>
      <c r="AC13" s="1">
        <f>IF(AND(OR(E13=3,E13=0),G13=3,F13=1),D13,"")</f>
      </c>
      <c r="AD13" s="1">
        <f>IF(AND(OR(E13=1,E13=0),G13=1,F13=0),J13,"")</f>
      </c>
      <c r="AE13" s="1">
        <f>IF(AND(OR(E13=1,E13=0),G13=2,F13=0),J13,"")</f>
      </c>
      <c r="AF13" s="1">
        <f>IF(AND(OR(E13=1,E13=0),G13=3,F13=0),J13,"")</f>
      </c>
      <c r="AG13" s="1">
        <f>IF(AND(OR(E13=1,E13=0),G13=1,F13=1),J13,"")</f>
      </c>
      <c r="AH13" s="1">
        <f>IF(AND(OR(E13=1,E13=0),G13=2,F13=1),J13,"")</f>
      </c>
      <c r="AI13" s="1">
        <f>IF(AND(OR(E13=1,E13=0),G13=3,F13=1),J13,"")</f>
      </c>
      <c r="AJ13" s="1">
        <f>IF(AND(OR(E13=2,E13=0),G13=1,F13=0),J13,"")</f>
      </c>
      <c r="AK13" s="1">
        <f>IF(AND(OR(E13=2,E13=0),G13=2,F13=0),J13,"")</f>
      </c>
      <c r="AL13" s="1">
        <f>IF(AND(OR(E13=2,E13=0),G13=3,F13=0),J13,"")</f>
      </c>
      <c r="AM13" s="1">
        <f>IF(AND(OR(E13=2,E13=0),G13=1,F13=1),J13,"")</f>
      </c>
      <c r="AN13" s="1">
        <f>IF(AND(OR(E13=2,E13=0),G13=2,F13=1),J13,"")</f>
      </c>
      <c r="AO13" s="1">
        <f>IF(AND(OR(E13=2,E13=0),G13=3,F13=1),J13,"")</f>
      </c>
      <c r="AP13" s="1">
        <f>IF(AND(OR(E13=3,E13=0),G13=1,F13=0),J13,"")</f>
      </c>
      <c r="AQ13" s="1">
        <f>IF(AND(OR(E13=3,E13=0),G13=2,F13=0),J13,"")</f>
      </c>
      <c r="AR13" s="1">
        <f>IF(AND(OR(E13=3,E13=0),G13=3,F13=0),J13,"")</f>
      </c>
      <c r="AS13" s="1">
        <f>IF(AND(OR(E13=3,E13=0),G13=1,F13=1),J13,"")</f>
      </c>
      <c r="AT13" s="1">
        <f>IF(AND(OR(E13=3,E13=0),G13=2,F13=1),J13,"")</f>
      </c>
      <c r="AU13" s="1">
        <f>IF(AND(OR(E13=3,E13=0),G13=3,F13=1),J13,"")</f>
      </c>
    </row>
    <row customHeight="true" ht="19" r="14">
      <c r="A14" s="75" t="str">
        <v>2名様、ご案内～♪（毛球偷吃）</v>
      </c>
      <c r="B14" s="75" t="str"/>
      <c r="C14" s="75" t="str"/>
      <c r="D14" s="116">
        <f>IF(路线!B4="计算",持有情况!AM82,持有情况!AJ82)-ROW()*1e-05</f>
      </c>
      <c r="E14" s="117">
        <v>0</v>
      </c>
      <c r="F14" s="117">
        <v>0</v>
      </c>
      <c r="G14" s="116">
        <v>1</v>
      </c>
      <c r="H14" s="117">
        <v>0</v>
      </c>
      <c r="I14" s="1" t="str"/>
      <c r="J14" s="116">
        <f>IF(路线!B4="计算",INT(45+10*路线!B31+5*路线!B30+3*(路线!B28+路线!B29)+30+持有情况!AM81),INT(45+10*路线!B31+5*路线!B30+3*(路线!B28+路线!B29)+30))-ROW()*1e-05</f>
      </c>
      <c r="L14" s="1">
        <f>IF(AND(OR(E14=1,E14=0),G14=1),D14,"")</f>
      </c>
      <c r="M14" s="1">
        <f>IF(AND(OR(E14=2,E14=0),G14=1),D14,"")</f>
      </c>
      <c r="N14" s="1">
        <f>IF(AND(OR(E14=3,E14=0),G14=1),D14,"")</f>
      </c>
      <c r="O14" s="1">
        <f>IF(AND(OR(E14=1,E14=0),G14=2),D14,"")</f>
      </c>
      <c r="P14" s="1">
        <f>IF(AND(OR(E14=2,E14=0),G14=2),D14,"")</f>
      </c>
      <c r="Q14" s="1">
        <f>IF(AND(OR(E14=3,E14=0),G14=2),D14,"")</f>
      </c>
      <c r="R14" s="1">
        <f>IF(AND(OR(E14=1,E14=0),G14=3),D14,"")</f>
      </c>
      <c r="S14" s="1">
        <f>IF(AND(OR(E14=2,E14=0),G14=3),D14,"")</f>
      </c>
      <c r="T14" s="1">
        <f>IF(AND(OR(E14=3,E14=0),G14=3),D14,"")</f>
      </c>
      <c r="U14" s="1">
        <f>IF(AND(OR(E14=1,E14=0),G14=1,F14=1),D14,"")</f>
      </c>
      <c r="V14" s="1">
        <f>IF(AND(OR(E14=1,E14=0),G14=2,F14=1),D14,"")</f>
      </c>
      <c r="W14" s="1">
        <f>IF(AND(OR(E14=1,E14=0),G14=3,F14=1),D14,"")</f>
      </c>
      <c r="X14" s="1">
        <f>IF(AND(OR(E14=2,E14=0),G14=1,F14=1),D14,"")</f>
      </c>
      <c r="Y14" s="1">
        <f>IF(AND(OR(E14=2,E14=0),G14=2,F14=1),D14,"")</f>
      </c>
      <c r="Z14" s="1">
        <f>IF(AND(OR(E14=2,E14=0),G14=3,F14=1),D14,"")</f>
      </c>
      <c r="AA14" s="1">
        <f>IF(AND(OR(E14=3,E14=0),G14=1,F14=1),D14,"")</f>
      </c>
      <c r="AB14" s="1">
        <f>IF(AND(OR(E14=3,E14=0),G14=2,F14=1),D14,"")</f>
      </c>
      <c r="AC14" s="1">
        <f>IF(AND(OR(E14=3,E14=0),G14=3,F14=1),D14,"")</f>
      </c>
      <c r="AD14" s="1">
        <f>IF(AND(OR(E14=1,E14=0),G14=1,F14=0),J14,"")</f>
      </c>
      <c r="AE14" s="1">
        <f>IF(AND(OR(E14=1,E14=0),G14=2,F14=0),J14,"")</f>
      </c>
      <c r="AF14" s="1">
        <f>IF(AND(OR(E14=1,E14=0),G14=3,F14=0),J14,"")</f>
      </c>
      <c r="AG14" s="1">
        <f>IF(AND(OR(E14=1,E14=0),G14=1,F14=1),J14,"")</f>
      </c>
      <c r="AH14" s="1">
        <f>IF(AND(OR(E14=1,E14=0),G14=2,F14=1),J14,"")</f>
      </c>
      <c r="AI14" s="1">
        <f>IF(AND(OR(E14=1,E14=0),G14=3,F14=1),J14,"")</f>
      </c>
      <c r="AJ14" s="1">
        <f>IF(AND(OR(E14=2,E14=0),G14=1,F14=0),J14,"")</f>
      </c>
      <c r="AK14" s="1">
        <f>IF(AND(OR(E14=2,E14=0),G14=2,F14=0),J14,"")</f>
      </c>
      <c r="AL14" s="1">
        <f>IF(AND(OR(E14=2,E14=0),G14=3,F14=0),J14,"")</f>
      </c>
      <c r="AM14" s="1">
        <f>IF(AND(OR(E14=2,E14=0),G14=1,F14=1),J14,"")</f>
      </c>
      <c r="AN14" s="1">
        <f>IF(AND(OR(E14=2,E14=0),G14=2,F14=1),J14,"")</f>
      </c>
      <c r="AO14" s="1">
        <f>IF(AND(OR(E14=2,E14=0),G14=3,F14=1),J14,"")</f>
      </c>
      <c r="AP14" s="1">
        <f>IF(AND(OR(E14=3,E14=0),G14=1,F14=0),J14,"")</f>
      </c>
      <c r="AQ14" s="1">
        <f>IF(AND(OR(E14=3,E14=0),G14=2,F14=0),J14,"")</f>
      </c>
      <c r="AR14" s="1">
        <f>IF(AND(OR(E14=3,E14=0),G14=3,F14=0),J14,"")</f>
      </c>
      <c r="AS14" s="1">
        <f>IF(AND(OR(E14=3,E14=0),G14=1,F14=1),J14,"")</f>
      </c>
      <c r="AT14" s="1">
        <f>IF(AND(OR(E14=3,E14=0),G14=2,F14=1),J14,"")</f>
      </c>
      <c r="AU14" s="1">
        <f>IF(AND(OR(E14=3,E14=0),G14=3,F14=1),J14,"")</f>
      </c>
    </row>
    <row customHeight="true" ht="19" r="15">
      <c r="A15" s="75" t="str">
        <v>まだ上がりませんように！（撑伞）</v>
      </c>
      <c r="B15" s="75" t="str"/>
      <c r="C15" s="75" t="str"/>
      <c r="D15" s="116">
        <f>持有情况!F40-ROW()*1e-05</f>
      </c>
      <c r="E15" s="117">
        <v>0</v>
      </c>
      <c r="F15" s="117">
        <v>0</v>
      </c>
      <c r="G15" s="116">
        <v>1</v>
      </c>
      <c r="H15" s="116">
        <v>1</v>
      </c>
      <c r="I15" s="111" t="str">
        <v>撑伞</v>
      </c>
      <c r="J15" s="116">
        <f>IF(路线!C6="计算",INT((8.5/100)*路线!B11+17*路线!B15+9*路线!B29+40+20)-ROW()*1e-05,INT((8.5/100)*路线!B11+17*路线!B15+9*路线!B29+40)-ROW()*1e-05)</f>
      </c>
      <c r="L15" s="1">
        <f>IF(AND(OR(E15=1,E15=0),G15=1),D15,"")</f>
      </c>
      <c r="M15" s="1">
        <f>IF(AND(OR(E15=2,E15=0),G15=1),D15,"")</f>
      </c>
      <c r="N15" s="1">
        <f>IF(AND(OR(E15=3,E15=0),G15=1),D15,"")</f>
      </c>
      <c r="O15" s="1">
        <f>IF(AND(OR(E15=1,E15=0),G15=2),D15,"")</f>
      </c>
      <c r="P15" s="1">
        <f>IF(AND(OR(E15=2,E15=0),G15=2),D15,"")</f>
      </c>
      <c r="Q15" s="1">
        <f>IF(AND(OR(E15=3,E15=0),G15=2),D15,"")</f>
      </c>
      <c r="R15" s="1">
        <f>IF(AND(OR(E15=1,E15=0),G15=3),D15,"")</f>
      </c>
      <c r="S15" s="1">
        <f>IF(AND(OR(E15=2,E15=0),G15=3),D15,"")</f>
      </c>
      <c r="T15" s="1">
        <f>IF(AND(OR(E15=3,E15=0),G15=3),D15,"")</f>
      </c>
      <c r="U15" s="1">
        <f>IF(AND(OR(E15=1,E15=0),G15=1,F15=1),D15,"")</f>
      </c>
      <c r="V15" s="1">
        <f>IF(AND(OR(E15=1,E15=0),G15=2,F15=1),D15,"")</f>
      </c>
      <c r="W15" s="1">
        <f>IF(AND(OR(E15=1,E15=0),G15=3,F15=1),D15,"")</f>
      </c>
      <c r="X15" s="1">
        <f>IF(AND(OR(E15=2,E15=0),G15=1,F15=1),D15,"")</f>
      </c>
      <c r="Y15" s="1">
        <f>IF(AND(OR(E15=2,E15=0),G15=2,F15=1),D15,"")</f>
      </c>
      <c r="Z15" s="1">
        <f>IF(AND(OR(E15=2,E15=0),G15=3,F15=1),D15,"")</f>
      </c>
      <c r="AA15" s="1">
        <f>IF(AND(OR(E15=3,E15=0),G15=1,F15=1),D15,"")</f>
      </c>
      <c r="AB15" s="1">
        <f>IF(AND(OR(E15=3,E15=0),G15=2,F15=1),D15,"")</f>
      </c>
      <c r="AC15" s="1">
        <f>IF(AND(OR(E15=3,E15=0),G15=3,F15=1),D15,"")</f>
      </c>
      <c r="AD15" s="1">
        <f>IF(AND(OR(E15=1,E15=0),G15=1,F15=0),J15,"")</f>
      </c>
      <c r="AE15" s="1">
        <f>IF(AND(OR(E15=1,E15=0),G15=2,F15=0),J15,"")</f>
      </c>
      <c r="AF15" s="1">
        <f>IF(AND(OR(E15=1,E15=0),G15=3,F15=0),J15,"")</f>
      </c>
      <c r="AG15" s="1">
        <f>IF(AND(OR(E15=1,E15=0),G15=1,F15=1),J15,"")</f>
      </c>
      <c r="AH15" s="1">
        <f>IF(AND(OR(E15=1,E15=0),G15=2,F15=1),J15,"")</f>
      </c>
      <c r="AI15" s="1">
        <f>IF(AND(OR(E15=1,E15=0),G15=3,F15=1),J15,"")</f>
      </c>
      <c r="AJ15" s="1">
        <f>IF(AND(OR(E15=2,E15=0),G15=1,F15=0),J15,"")</f>
      </c>
      <c r="AK15" s="1">
        <f>IF(AND(OR(E15=2,E15=0),G15=2,F15=0),J15,"")</f>
      </c>
      <c r="AL15" s="1">
        <f>IF(AND(OR(E15=2,E15=0),G15=3,F15=0),J15,"")</f>
      </c>
      <c r="AM15" s="1">
        <f>IF(AND(OR(E15=2,E15=0),G15=1,F15=1),J15,"")</f>
      </c>
      <c r="AN15" s="1">
        <f>IF(AND(OR(E15=2,E15=0),G15=2,F15=1),J15,"")</f>
      </c>
      <c r="AO15" s="1">
        <f>IF(AND(OR(E15=2,E15=0),G15=3,F15=1),J15,"")</f>
      </c>
      <c r="AP15" s="1">
        <f>IF(AND(OR(E15=3,E15=0),G15=1,F15=0),J15,"")</f>
      </c>
      <c r="AQ15" s="1">
        <f>IF(AND(OR(E15=3,E15=0),G15=2,F15=0),J15,"")</f>
      </c>
      <c r="AR15" s="1">
        <f>IF(AND(OR(E15=3,E15=0),G15=3,F15=0),J15,"")</f>
      </c>
      <c r="AS15" s="1">
        <f>IF(AND(OR(E15=3,E15=0),G15=1,F15=1),J15,"")</f>
      </c>
      <c r="AT15" s="1">
        <f>IF(AND(OR(E15=3,E15=0),G15=2,F15=1),J15,"")</f>
      </c>
      <c r="AU15" s="1">
        <f>IF(AND(OR(E15=3,E15=0),G15=3,F15=1),J15,"")</f>
      </c>
    </row>
    <row customHeight="true" ht="19" r="16">
      <c r="A16" s="99" t="str">
        <v>キラキラして綺麗～っ！（光夜）</v>
      </c>
      <c r="B16" s="99" t="str"/>
      <c r="C16" s="99" t="str"/>
      <c r="D16" s="116">
        <f>持有情况!P76-ROW()*1e-05</f>
      </c>
      <c r="E16" s="116">
        <v>1</v>
      </c>
      <c r="F16" s="117">
        <v>0</v>
      </c>
      <c r="G16" s="116">
        <v>2</v>
      </c>
      <c r="H16" s="116">
        <v>1</v>
      </c>
      <c r="I16" s="111" t="str">
        <v>光夜</v>
      </c>
      <c r="J16" s="116">
        <f>IF(路线!C6="计算",INT((8.5/100)*路线!B11+11*路线!B33+17*路线!B15+22+40+20)-ROW()*1e-05,INT((8.5/100)*路线!B11+11*路线!B33+17*路线!B15+22+40)-ROW()*1e-05)</f>
      </c>
      <c r="L16" s="1">
        <f>IF(AND(OR(E16=1,E16=0),G16=1),D16,"")</f>
      </c>
      <c r="M16" s="1">
        <f>IF(AND(OR(E16=2,E16=0),G16=1),D16,"")</f>
      </c>
      <c r="N16" s="1">
        <f>IF(AND(OR(E16=3,E16=0),G16=1),D16,"")</f>
      </c>
      <c r="O16" s="1">
        <f>IF(AND(OR(E16=1,E16=0),G16=2),D16,"")</f>
      </c>
      <c r="P16" s="1">
        <f>IF(AND(OR(E16=2,E16=0),G16=2),D16,"")</f>
      </c>
      <c r="Q16" s="1">
        <f>IF(AND(OR(E16=3,E16=0),G16=2),D16,"")</f>
      </c>
      <c r="R16" s="1">
        <f>IF(AND(OR(E16=1,E16=0),G16=3),D16,"")</f>
      </c>
      <c r="S16" s="1">
        <f>IF(AND(OR(E16=2,E16=0),G16=3),D16,"")</f>
      </c>
      <c r="T16" s="1">
        <f>IF(AND(OR(E16=3,E16=0),G16=3),D16,"")</f>
      </c>
      <c r="U16" s="1">
        <f>IF(AND(OR(E16=1,E16=0),G16=1,F16=1),D16,"")</f>
      </c>
      <c r="V16" s="1">
        <f>IF(AND(OR(E16=1,E16=0),G16=2,F16=1),D16,"")</f>
      </c>
      <c r="W16" s="1">
        <f>IF(AND(OR(E16=1,E16=0),G16=3,F16=1),D16,"")</f>
      </c>
      <c r="X16" s="1">
        <f>IF(AND(OR(E16=2,E16=0),G16=1,F16=1),D16,"")</f>
      </c>
      <c r="Y16" s="1">
        <f>IF(AND(OR(E16=2,E16=0),G16=2,F16=1),D16,"")</f>
      </c>
      <c r="Z16" s="1">
        <f>IF(AND(OR(E16=2,E16=0),G16=3,F16=1),D16,"")</f>
      </c>
      <c r="AA16" s="1">
        <f>IF(AND(OR(E16=3,E16=0),G16=1,F16=1),D16,"")</f>
      </c>
      <c r="AB16" s="1">
        <f>IF(AND(OR(E16=3,E16=0),G16=2,F16=1),D16,"")</f>
      </c>
      <c r="AC16" s="1">
        <f>IF(AND(OR(E16=3,E16=0),G16=3,F16=1),D16,"")</f>
      </c>
      <c r="AD16" s="1">
        <f>IF(AND(OR(E16=1,E16=0),G16=1,F16=0),J16,"")</f>
      </c>
      <c r="AE16" s="1">
        <f>IF(AND(OR(E16=1,E16=0),G16=2,F16=0),J16,"")</f>
      </c>
      <c r="AF16" s="1">
        <f>IF(AND(OR(E16=1,E16=0),G16=3,F16=0),J16,"")</f>
      </c>
      <c r="AG16" s="1">
        <f>IF(AND(OR(E16=1,E16=0),G16=1,F16=1),J16,"")</f>
      </c>
      <c r="AH16" s="1">
        <f>IF(AND(OR(E16=1,E16=0),G16=2,F16=1),J16,"")</f>
      </c>
      <c r="AI16" s="1">
        <f>IF(AND(OR(E16=1,E16=0),G16=3,F16=1),J16,"")</f>
      </c>
      <c r="AJ16" s="1">
        <f>IF(AND(OR(E16=2,E16=0),G16=1,F16=0),J16,"")</f>
      </c>
      <c r="AK16" s="1">
        <f>IF(AND(OR(E16=2,E16=0),G16=2,F16=0),J16,"")</f>
      </c>
      <c r="AL16" s="1">
        <f>IF(AND(OR(E16=2,E16=0),G16=3,F16=0),J16,"")</f>
      </c>
      <c r="AM16" s="1">
        <f>IF(AND(OR(E16=2,E16=0),G16=1,F16=1),J16,"")</f>
      </c>
      <c r="AN16" s="1">
        <f>IF(AND(OR(E16=2,E16=0),G16=2,F16=1),J16,"")</f>
      </c>
      <c r="AO16" s="1">
        <f>IF(AND(OR(E16=2,E16=0),G16=3,F16=1),J16,"")</f>
      </c>
      <c r="AP16" s="1">
        <f>IF(AND(OR(E16=3,E16=0),G16=1,F16=0),J16,"")</f>
      </c>
      <c r="AQ16" s="1">
        <f>IF(AND(OR(E16=3,E16=0),G16=2,F16=0),J16,"")</f>
      </c>
      <c r="AR16" s="1">
        <f>IF(AND(OR(E16=3,E16=0),G16=3,F16=0),J16,"")</f>
      </c>
      <c r="AS16" s="1">
        <f>IF(AND(OR(E16=3,E16=0),G16=1,F16=1),J16,"")</f>
      </c>
      <c r="AT16" s="1">
        <f>IF(AND(OR(E16=3,E16=0),G16=2,F16=1),J16,"")</f>
      </c>
      <c r="AU16" s="1">
        <f>IF(AND(OR(E16=3,E16=0),G16=3,F16=1),J16,"")</f>
      </c>
    </row>
    <row customHeight="true" ht="19" r="17">
      <c r="A17" s="86" t="str">
        <v>新生活のはじまりだね（米袋）</v>
      </c>
      <c r="B17" s="86" t="str"/>
      <c r="C17" s="86" t="str"/>
      <c r="D17" s="116">
        <f>IF(路线!B4="计算",持有情况!AC100,持有情况!Z100)-ROW()*1e-05</f>
      </c>
      <c r="E17" s="116">
        <v>3</v>
      </c>
      <c r="F17" s="116">
        <v>1</v>
      </c>
      <c r="G17" s="116">
        <v>3</v>
      </c>
      <c r="H17" s="116">
        <v>1</v>
      </c>
      <c r="I17" s="1" t="str"/>
      <c r="J17" s="116">
        <f>IF(路线!B4="计算",INT(60+6*路线!B14+4*路线!B26+40+持有情况!AC99),INT(60+6*路线!B14+4*路线!B26+40))-ROW()*1e-05</f>
      </c>
      <c r="L17" s="1">
        <f>IF(AND(OR(E17=1,E17=0),G17=1),D17,"")</f>
      </c>
      <c r="M17" s="1">
        <f>IF(AND(OR(E17=2,E17=0),G17=1),D17,"")</f>
      </c>
      <c r="N17" s="1">
        <f>IF(AND(OR(E17=3,E17=0),G17=1),D17,"")</f>
      </c>
      <c r="O17" s="1">
        <f>IF(AND(OR(E17=1,E17=0),G17=2),D17,"")</f>
      </c>
      <c r="P17" s="1">
        <f>IF(AND(OR(E17=2,E17=0),G17=2),D17,"")</f>
      </c>
      <c r="Q17" s="1">
        <f>IF(AND(OR(E17=3,E17=0),G17=2),D17,"")</f>
      </c>
      <c r="R17" s="1">
        <f>IF(AND(OR(E17=1,E17=0),G17=3),D17,"")</f>
      </c>
      <c r="S17" s="1">
        <f>IF(AND(OR(E17=2,E17=0),G17=3),D17,"")</f>
      </c>
      <c r="T17" s="1">
        <f>IF(AND(OR(E17=3,E17=0),G17=3),D17,"")</f>
      </c>
      <c r="U17" s="1">
        <f>IF(AND(OR(E17=1,E17=0),G17=1,F17=1),D17,"")</f>
      </c>
      <c r="V17" s="1">
        <f>IF(AND(OR(E17=1,E17=0),G17=2,F17=1),D17,"")</f>
      </c>
      <c r="W17" s="1">
        <f>IF(AND(OR(E17=1,E17=0),G17=3,F17=1),D17,"")</f>
      </c>
      <c r="X17" s="1">
        <f>IF(AND(OR(E17=2,E17=0),G17=1,F17=1),D17,"")</f>
      </c>
      <c r="Y17" s="1">
        <f>IF(AND(OR(E17=2,E17=0),G17=2,F17=1),D17,"")</f>
      </c>
      <c r="Z17" s="1">
        <f>IF(AND(OR(E17=2,E17=0),G17=3,F17=1),D17,"")</f>
      </c>
      <c r="AA17" s="1">
        <f>IF(AND(OR(E17=3,E17=0),G17=1,F17=1),D17,"")</f>
      </c>
      <c r="AB17" s="1">
        <f>IF(AND(OR(E17=3,E17=0),G17=2,F17=1),D17,"")</f>
      </c>
      <c r="AC17" s="1">
        <f>IF(AND(OR(E17=3,E17=0),G17=3,F17=1),D17,"")</f>
      </c>
      <c r="AD17" s="1">
        <f>IF(AND(OR(E17=1,E17=0),G17=1,F17=0),J17,"")</f>
      </c>
      <c r="AE17" s="1">
        <f>IF(AND(OR(E17=1,E17=0),G17=2,F17=0),J17,"")</f>
      </c>
      <c r="AF17" s="1">
        <f>IF(AND(OR(E17=1,E17=0),G17=3,F17=0),J17,"")</f>
      </c>
      <c r="AG17" s="1">
        <f>IF(AND(OR(E17=1,E17=0),G17=1,F17=1),J17,"")</f>
      </c>
      <c r="AH17" s="1">
        <f>IF(AND(OR(E17=1,E17=0),G17=2,F17=1),J17,"")</f>
      </c>
      <c r="AI17" s="1">
        <f>IF(AND(OR(E17=1,E17=0),G17=3,F17=1),J17,"")</f>
      </c>
      <c r="AJ17" s="1">
        <f>IF(AND(OR(E17=2,E17=0),G17=1,F17=0),J17,"")</f>
      </c>
      <c r="AK17" s="1">
        <f>IF(AND(OR(E17=2,E17=0),G17=2,F17=0),J17,"")</f>
      </c>
      <c r="AL17" s="1">
        <f>IF(AND(OR(E17=2,E17=0),G17=3,F17=0),J17,"")</f>
      </c>
      <c r="AM17" s="1">
        <f>IF(AND(OR(E17=2,E17=0),G17=1,F17=1),J17,"")</f>
      </c>
      <c r="AN17" s="1">
        <f>IF(AND(OR(E17=2,E17=0),G17=2,F17=1),J17,"")</f>
      </c>
      <c r="AO17" s="1">
        <f>IF(AND(OR(E17=2,E17=0),G17=3,F17=1),J17,"")</f>
      </c>
      <c r="AP17" s="1">
        <f>IF(AND(OR(E17=3,E17=0),G17=1,F17=0),J17,"")</f>
      </c>
      <c r="AQ17" s="1">
        <f>IF(AND(OR(E17=3,E17=0),G17=2,F17=0),J17,"")</f>
      </c>
      <c r="AR17" s="1">
        <f>IF(AND(OR(E17=3,E17=0),G17=3,F17=0),J17,"")</f>
      </c>
      <c r="AS17" s="1">
        <f>IF(AND(OR(E17=3,E17=0),G17=1,F17=1),J17,"")</f>
      </c>
      <c r="AT17" s="1">
        <f>IF(AND(OR(E17=3,E17=0),G17=2,F17=1),J17,"")</f>
      </c>
      <c r="AU17" s="1">
        <f>IF(AND(OR(E17=3,E17=0),G17=3,F17=1),J17,"")</f>
      </c>
    </row>
    <row customHeight="true" ht="19" r="18">
      <c r="A18" s="75" t="str">
        <v>また、あんなに無理をして（红毛巾）</v>
      </c>
      <c r="B18" s="75" t="str"/>
      <c r="C18" s="75" t="str"/>
      <c r="D18" s="116">
        <f>持有情况!F10-ROW()*1e-05</f>
      </c>
      <c r="E18" s="117">
        <v>0</v>
      </c>
      <c r="F18" s="117">
        <v>0</v>
      </c>
      <c r="G18" s="116">
        <v>1</v>
      </c>
      <c r="H18" s="116">
        <v>1</v>
      </c>
      <c r="I18" s="111" t="str">
        <v>红毛巾</v>
      </c>
      <c r="J18" s="116">
        <f>INT((8.5/100)*路线!B11+15*路线!B31+3*路线!B24+40)-ROW()*1e-05</f>
      </c>
      <c r="L18" s="1">
        <f>IF(AND(OR(E18=1,E18=0),G18=1),D18,"")</f>
      </c>
      <c r="M18" s="1">
        <f>IF(AND(OR(E18=2,E18=0),G18=1),D18,"")</f>
      </c>
      <c r="N18" s="1">
        <f>IF(AND(OR(E18=3,E18=0),G18=1),D18,"")</f>
      </c>
      <c r="O18" s="1">
        <f>IF(AND(OR(E18=1,E18=0),G18=2),D18,"")</f>
      </c>
      <c r="P18" s="1">
        <f>IF(AND(OR(E18=2,E18=0),G18=2),D18,"")</f>
      </c>
      <c r="Q18" s="1">
        <f>IF(AND(OR(E18=3,E18=0),G18=2),D18,"")</f>
      </c>
      <c r="R18" s="1">
        <f>IF(AND(OR(E18=1,E18=0),G18=3),D18,"")</f>
      </c>
      <c r="S18" s="1">
        <f>IF(AND(OR(E18=2,E18=0),G18=3),D18,"")</f>
      </c>
      <c r="T18" s="1">
        <f>IF(AND(OR(E18=3,E18=0),G18=3),D18,"")</f>
      </c>
      <c r="U18" s="1">
        <f>IF(AND(OR(E18=1,E18=0),G18=1,F18=1),D18,"")</f>
      </c>
      <c r="V18" s="1">
        <f>IF(AND(OR(E18=1,E18=0),G18=2,F18=1),D18,"")</f>
      </c>
      <c r="W18" s="1">
        <f>IF(AND(OR(E18=1,E18=0),G18=3,F18=1),D18,"")</f>
      </c>
      <c r="X18" s="1">
        <f>IF(AND(OR(E18=2,E18=0),G18=1,F18=1),D18,"")</f>
      </c>
      <c r="Y18" s="1">
        <f>IF(AND(OR(E18=2,E18=0),G18=2,F18=1),D18,"")</f>
      </c>
      <c r="Z18" s="1">
        <f>IF(AND(OR(E18=2,E18=0),G18=3,F18=1),D18,"")</f>
      </c>
      <c r="AA18" s="1">
        <f>IF(AND(OR(E18=3,E18=0),G18=1,F18=1),D18,"")</f>
      </c>
      <c r="AB18" s="1">
        <f>IF(AND(OR(E18=3,E18=0),G18=2,F18=1),D18,"")</f>
      </c>
      <c r="AC18" s="1">
        <f>IF(AND(OR(E18=3,E18=0),G18=3,F18=1),D18,"")</f>
      </c>
      <c r="AD18" s="1">
        <f>IF(AND(OR(E18=1,E18=0),G18=1,F18=0),J18,"")</f>
      </c>
      <c r="AE18" s="1">
        <f>IF(AND(OR(E18=1,E18=0),G18=2,F18=0),J18,"")</f>
      </c>
      <c r="AF18" s="1">
        <f>IF(AND(OR(E18=1,E18=0),G18=3,F18=0),J18,"")</f>
      </c>
      <c r="AG18" s="1">
        <f>IF(AND(OR(E18=1,E18=0),G18=1,F18=1),J18,"")</f>
      </c>
      <c r="AH18" s="1">
        <f>IF(AND(OR(E18=1,E18=0),G18=2,F18=1),J18,"")</f>
      </c>
      <c r="AI18" s="1">
        <f>IF(AND(OR(E18=1,E18=0),G18=3,F18=1),J18,"")</f>
      </c>
      <c r="AJ18" s="1">
        <f>IF(AND(OR(E18=2,E18=0),G18=1,F18=0),J18,"")</f>
      </c>
      <c r="AK18" s="1">
        <f>IF(AND(OR(E18=2,E18=0),G18=2,F18=0),J18,"")</f>
      </c>
      <c r="AL18" s="1">
        <f>IF(AND(OR(E18=2,E18=0),G18=3,F18=0),J18,"")</f>
      </c>
      <c r="AM18" s="1">
        <f>IF(AND(OR(E18=2,E18=0),G18=1,F18=1),J18,"")</f>
      </c>
      <c r="AN18" s="1">
        <f>IF(AND(OR(E18=2,E18=0),G18=2,F18=1),J18,"")</f>
      </c>
      <c r="AO18" s="1">
        <f>IF(AND(OR(E18=2,E18=0),G18=3,F18=1),J18,"")</f>
      </c>
      <c r="AP18" s="1">
        <f>IF(AND(OR(E18=3,E18=0),G18=1,F18=0),J18,"")</f>
      </c>
      <c r="AQ18" s="1">
        <f>IF(AND(OR(E18=3,E18=0),G18=2,F18=0),J18,"")</f>
      </c>
      <c r="AR18" s="1">
        <f>IF(AND(OR(E18=3,E18=0),G18=3,F18=0),J18,"")</f>
      </c>
      <c r="AS18" s="1">
        <f>IF(AND(OR(E18=3,E18=0),G18=1,F18=1),J18,"")</f>
      </c>
      <c r="AT18" s="1">
        <f>IF(AND(OR(E18=3,E18=0),G18=2,F18=1),J18,"")</f>
      </c>
      <c r="AU18" s="1">
        <f>IF(AND(OR(E18=3,E18=0),G18=3,F18=1),J18,"")</f>
      </c>
    </row>
    <row customHeight="true" ht="19" r="19">
      <c r="A19" s="86" t="str">
        <v>新たな挑戦の成功ですわ！（黄书签）</v>
      </c>
      <c r="B19" s="86" t="str"/>
      <c r="C19" s="86" t="str"/>
      <c r="D19" s="116">
        <f>IF(路线!B4="计算",持有情况!AC64,持有情况!Z64)-ROW()*1e-05</f>
      </c>
      <c r="E19" s="117">
        <v>0</v>
      </c>
      <c r="F19" s="116">
        <v>1</v>
      </c>
      <c r="G19" s="116">
        <v>3</v>
      </c>
      <c r="H19" s="117">
        <v>0</v>
      </c>
      <c r="I19" s="1" t="str"/>
      <c r="J19" s="116">
        <f>IF(路线!B4="计算",INT(60+6*路线!B14+3*路线!B23+40+持有情况!AC63),INT(60+6*路线!B14+3*路线!B23+40))-ROW()*1e-05</f>
      </c>
      <c r="L19" s="1">
        <f>IF(AND(OR(E19=1,E19=0),G19=1),D19,"")</f>
      </c>
      <c r="M19" s="1">
        <f>IF(AND(OR(E19=2,E19=0),G19=1),D19,"")</f>
      </c>
      <c r="N19" s="1">
        <f>IF(AND(OR(E19=3,E19=0),G19=1),D19,"")</f>
      </c>
      <c r="O19" s="1">
        <f>IF(AND(OR(E19=1,E19=0),G19=2),D19,"")</f>
      </c>
      <c r="P19" s="1">
        <f>IF(AND(OR(E19=2,E19=0),G19=2),D19,"")</f>
      </c>
      <c r="Q19" s="1">
        <f>IF(AND(OR(E19=3,E19=0),G19=2),D19,"")</f>
      </c>
      <c r="R19" s="1">
        <f>IF(AND(OR(E19=1,E19=0),G19=3),D19,"")</f>
      </c>
      <c r="S19" s="1">
        <f>IF(AND(OR(E19=2,E19=0),G19=3),D19,"")</f>
      </c>
      <c r="T19" s="1">
        <f>IF(AND(OR(E19=3,E19=0),G19=3),D19,"")</f>
      </c>
      <c r="U19" s="1">
        <f>IF(AND(OR(E19=1,E19=0),G19=1,F19=1),D19,"")</f>
      </c>
      <c r="V19" s="1">
        <f>IF(AND(OR(E19=1,E19=0),G19=2,F19=1),D19,"")</f>
      </c>
      <c r="W19" s="1">
        <f>IF(AND(OR(E19=1,E19=0),G19=3,F19=1),D19,"")</f>
      </c>
      <c r="X19" s="1">
        <f>IF(AND(OR(E19=2,E19=0),G19=1,F19=1),D19,"")</f>
      </c>
      <c r="Y19" s="1">
        <f>IF(AND(OR(E19=2,E19=0),G19=2,F19=1),D19,"")</f>
      </c>
      <c r="Z19" s="1">
        <f>IF(AND(OR(E19=2,E19=0),G19=3,F19=1),D19,"")</f>
      </c>
      <c r="AA19" s="1">
        <f>IF(AND(OR(E19=3,E19=0),G19=1,F19=1),D19,"")</f>
      </c>
      <c r="AB19" s="1">
        <f>IF(AND(OR(E19=3,E19=0),G19=2,F19=1),D19,"")</f>
      </c>
      <c r="AC19" s="1">
        <f>IF(AND(OR(E19=3,E19=0),G19=3,F19=1),D19,"")</f>
      </c>
      <c r="AD19" s="1">
        <f>IF(AND(OR(E19=1,E19=0),G19=1,F19=0),J19,"")</f>
      </c>
      <c r="AE19" s="1">
        <f>IF(AND(OR(E19=1,E19=0),G19=2,F19=0),J19,"")</f>
      </c>
      <c r="AF19" s="1">
        <f>IF(AND(OR(E19=1,E19=0),G19=3,F19=0),J19,"")</f>
      </c>
      <c r="AG19" s="1">
        <f>IF(AND(OR(E19=1,E19=0),G19=1,F19=1),J19,"")</f>
      </c>
      <c r="AH19" s="1">
        <f>IF(AND(OR(E19=1,E19=0),G19=2,F19=1),J19,"")</f>
      </c>
      <c r="AI19" s="1">
        <f>IF(AND(OR(E19=1,E19=0),G19=3,F19=1),J19,"")</f>
      </c>
      <c r="AJ19" s="1">
        <f>IF(AND(OR(E19=2,E19=0),G19=1,F19=0),J19,"")</f>
      </c>
      <c r="AK19" s="1">
        <f>IF(AND(OR(E19=2,E19=0),G19=2,F19=0),J19,"")</f>
      </c>
      <c r="AL19" s="1">
        <f>IF(AND(OR(E19=2,E19=0),G19=3,F19=0),J19,"")</f>
      </c>
      <c r="AM19" s="1">
        <f>IF(AND(OR(E19=2,E19=0),G19=1,F19=1),J19,"")</f>
      </c>
      <c r="AN19" s="1">
        <f>IF(AND(OR(E19=2,E19=0),G19=2,F19=1),J19,"")</f>
      </c>
      <c r="AO19" s="1">
        <f>IF(AND(OR(E19=2,E19=0),G19=3,F19=1),J19,"")</f>
      </c>
      <c r="AP19" s="1">
        <f>IF(AND(OR(E19=3,E19=0),G19=1,F19=0),J19,"")</f>
      </c>
      <c r="AQ19" s="1">
        <f>IF(AND(OR(E19=3,E19=0),G19=2,F19=0),J19,"")</f>
      </c>
      <c r="AR19" s="1">
        <f>IF(AND(OR(E19=3,E19=0),G19=3,F19=0),J19,"")</f>
      </c>
      <c r="AS19" s="1">
        <f>IF(AND(OR(E19=3,E19=0),G19=1,F19=1),J19,"")</f>
      </c>
      <c r="AT19" s="1">
        <f>IF(AND(OR(E19=3,E19=0),G19=2,F19=1),J19,"")</f>
      </c>
      <c r="AU19" s="1">
        <f>IF(AND(OR(E19=3,E19=0),G19=3,F19=1),J19,"")</f>
      </c>
    </row>
    <row customHeight="true" ht="19" r="20">
      <c r="A20" s="99" t="str">
        <v>あなたたちのことが好き（秋千）</v>
      </c>
      <c r="B20" s="99" t="str"/>
      <c r="C20" s="99" t="str"/>
      <c r="D20" s="116">
        <f>持有情况!P94-ROW()*1e-05</f>
      </c>
      <c r="E20" s="116">
        <v>2</v>
      </c>
      <c r="F20" s="116">
        <v>1</v>
      </c>
      <c r="G20" s="116">
        <v>2</v>
      </c>
      <c r="H20" s="117">
        <v>0</v>
      </c>
      <c r="I20" s="1" t="str"/>
      <c r="J20" s="116">
        <f>INT(60+17*路线!B15+9*路线!B29+40)-ROW()*1e-05</f>
      </c>
      <c r="L20" s="1">
        <f>IF(AND(OR(E20=1,E20=0),G20=1),D20,"")</f>
      </c>
      <c r="M20" s="1">
        <f>IF(AND(OR(E20=2,E20=0),G20=1),D20,"")</f>
      </c>
      <c r="N20" s="1">
        <f>IF(AND(OR(E20=3,E20=0),G20=1),D20,"")</f>
      </c>
      <c r="O20" s="1">
        <f>IF(AND(OR(E20=1,E20=0),G20=2),D20,"")</f>
      </c>
      <c r="P20" s="1">
        <f>IF(AND(OR(E20=2,E20=0),G20=2),D20,"")</f>
      </c>
      <c r="Q20" s="1">
        <f>IF(AND(OR(E20=3,E20=0),G20=2),D20,"")</f>
      </c>
      <c r="R20" s="1">
        <f>IF(AND(OR(E20=1,E20=0),G20=3),D20,"")</f>
      </c>
      <c r="S20" s="1">
        <f>IF(AND(OR(E20=2,E20=0),G20=3),D20,"")</f>
      </c>
      <c r="T20" s="1">
        <f>IF(AND(OR(E20=3,E20=0),G20=3),D20,"")</f>
      </c>
      <c r="U20" s="1">
        <f>IF(AND(OR(E20=1,E20=0),G20=1,F20=1),D20,"")</f>
      </c>
      <c r="V20" s="1">
        <f>IF(AND(OR(E20=1,E20=0),G20=2,F20=1),D20,"")</f>
      </c>
      <c r="W20" s="1">
        <f>IF(AND(OR(E20=1,E20=0),G20=3,F20=1),D20,"")</f>
      </c>
      <c r="X20" s="1">
        <f>IF(AND(OR(E20=2,E20=0),G20=1,F20=1),D20,"")</f>
      </c>
      <c r="Y20" s="1">
        <f>IF(AND(OR(E20=2,E20=0),G20=2,F20=1),D20,"")</f>
      </c>
      <c r="Z20" s="1">
        <f>IF(AND(OR(E20=2,E20=0),G20=3,F20=1),D20,"")</f>
      </c>
      <c r="AA20" s="1">
        <f>IF(AND(OR(E20=3,E20=0),G20=1,F20=1),D20,"")</f>
      </c>
      <c r="AB20" s="1">
        <f>IF(AND(OR(E20=3,E20=0),G20=2,F20=1),D20,"")</f>
      </c>
      <c r="AC20" s="1">
        <f>IF(AND(OR(E20=3,E20=0),G20=3,F20=1),D20,"")</f>
      </c>
      <c r="AD20" s="1">
        <f>IF(AND(OR(E20=1,E20=0),G20=1,F20=0),J20,"")</f>
      </c>
      <c r="AE20" s="1">
        <f>IF(AND(OR(E20=1,E20=0),G20=2,F20=0),J20,"")</f>
      </c>
      <c r="AF20" s="1">
        <f>IF(AND(OR(E20=1,E20=0),G20=3,F20=0),J20,"")</f>
      </c>
      <c r="AG20" s="1">
        <f>IF(AND(OR(E20=1,E20=0),G20=1,F20=1),J20,"")</f>
      </c>
      <c r="AH20" s="1">
        <f>IF(AND(OR(E20=1,E20=0),G20=2,F20=1),J20,"")</f>
      </c>
      <c r="AI20" s="1">
        <f>IF(AND(OR(E20=1,E20=0),G20=3,F20=1),J20,"")</f>
      </c>
      <c r="AJ20" s="1">
        <f>IF(AND(OR(E20=2,E20=0),G20=1,F20=0),J20,"")</f>
      </c>
      <c r="AK20" s="1">
        <f>IF(AND(OR(E20=2,E20=0),G20=2,F20=0),J20,"")</f>
      </c>
      <c r="AL20" s="1">
        <f>IF(AND(OR(E20=2,E20=0),G20=3,F20=0),J20,"")</f>
      </c>
      <c r="AM20" s="1">
        <f>IF(AND(OR(E20=2,E20=0),G20=1,F20=1),J20,"")</f>
      </c>
      <c r="AN20" s="1">
        <f>IF(AND(OR(E20=2,E20=0),G20=2,F20=1),J20,"")</f>
      </c>
      <c r="AO20" s="1">
        <f>IF(AND(OR(E20=2,E20=0),G20=3,F20=1),J20,"")</f>
      </c>
      <c r="AP20" s="1">
        <f>IF(AND(OR(E20=3,E20=0),G20=1,F20=0),J20,"")</f>
      </c>
      <c r="AQ20" s="1">
        <f>IF(AND(OR(E20=3,E20=0),G20=2,F20=0),J20,"")</f>
      </c>
      <c r="AR20" s="1">
        <f>IF(AND(OR(E20=3,E20=0),G20=3,F20=0),J20,"")</f>
      </c>
      <c r="AS20" s="1">
        <f>IF(AND(OR(E20=3,E20=0),G20=1,F20=1),J20,"")</f>
      </c>
      <c r="AT20" s="1">
        <f>IF(AND(OR(E20=3,E20=0),G20=2,F20=1),J20,"")</f>
      </c>
      <c r="AU20" s="1">
        <f>IF(AND(OR(E20=3,E20=0),G20=3,F20=1),J20,"")</f>
      </c>
    </row>
    <row customHeight="true" ht="19" r="21">
      <c r="A21" s="86" t="str">
        <v>花火、やりませんか……？（花火）</v>
      </c>
      <c r="B21" s="86" t="str"/>
      <c r="C21" s="86" t="str"/>
      <c r="D21" s="116">
        <f>持有情况!Z52-ROW()*1e-05</f>
      </c>
      <c r="E21" s="116">
        <v>1</v>
      </c>
      <c r="F21" s="117">
        <v>0</v>
      </c>
      <c r="G21" s="116">
        <v>3</v>
      </c>
      <c r="H21" s="116">
        <v>1</v>
      </c>
      <c r="I21" s="111" t="str">
        <v>花火</v>
      </c>
      <c r="J21" s="116">
        <f>IF(路线!C6="计算",INT((8.5/100)*路线!B11+3*路线!B23+17*路线!B15+11*路线!B33+40+20)-ROW()*1e-05,INT((8.5/100)*路线!B11+3*路线!B23+17*路线!B15+11*路线!B33+40)-ROW()*1e-05)</f>
      </c>
      <c r="L21" s="1">
        <f>IF(AND(OR(E21=1,E21=0),G21=1),D21,"")</f>
      </c>
      <c r="M21" s="1">
        <f>IF(AND(OR(E21=2,E21=0),G21=1),D21,"")</f>
      </c>
      <c r="N21" s="1">
        <f>IF(AND(OR(E21=3,E21=0),G21=1),D21,"")</f>
      </c>
      <c r="O21" s="1">
        <f>IF(AND(OR(E21=1,E21=0),G21=2),D21,"")</f>
      </c>
      <c r="P21" s="1">
        <f>IF(AND(OR(E21=2,E21=0),G21=2),D21,"")</f>
      </c>
      <c r="Q21" s="1">
        <f>IF(AND(OR(E21=3,E21=0),G21=2),D21,"")</f>
      </c>
      <c r="R21" s="1">
        <f>IF(AND(OR(E21=1,E21=0),G21=3),D21,"")</f>
      </c>
      <c r="S21" s="1">
        <f>IF(AND(OR(E21=2,E21=0),G21=3),D21,"")</f>
      </c>
      <c r="T21" s="1">
        <f>IF(AND(OR(E21=3,E21=0),G21=3),D21,"")</f>
      </c>
      <c r="U21" s="1">
        <f>IF(AND(OR(E21=1,E21=0),G21=1,F21=1),D21,"")</f>
      </c>
      <c r="V21" s="1">
        <f>IF(AND(OR(E21=1,E21=0),G21=2,F21=1),D21,"")</f>
      </c>
      <c r="W21" s="1">
        <f>IF(AND(OR(E21=1,E21=0),G21=3,F21=1),D21,"")</f>
      </c>
      <c r="X21" s="1">
        <f>IF(AND(OR(E21=2,E21=0),G21=1,F21=1),D21,"")</f>
      </c>
      <c r="Y21" s="1">
        <f>IF(AND(OR(E21=2,E21=0),G21=2,F21=1),D21,"")</f>
      </c>
      <c r="Z21" s="1">
        <f>IF(AND(OR(E21=2,E21=0),G21=3,F21=1),D21,"")</f>
      </c>
      <c r="AA21" s="1">
        <f>IF(AND(OR(E21=3,E21=0),G21=1,F21=1),D21,"")</f>
      </c>
      <c r="AB21" s="1">
        <f>IF(AND(OR(E21=3,E21=0),G21=2,F21=1),D21,"")</f>
      </c>
      <c r="AC21" s="1">
        <f>IF(AND(OR(E21=3,E21=0),G21=3,F21=1),D21,"")</f>
      </c>
      <c r="AD21" s="1">
        <f>IF(AND(OR(E21=1,E21=0),G21=1,F21=0),J21,"")</f>
      </c>
      <c r="AE21" s="1">
        <f>IF(AND(OR(E21=1,E21=0),G21=2,F21=0),J21,"")</f>
      </c>
      <c r="AF21" s="1">
        <f>IF(AND(OR(E21=1,E21=0),G21=3,F21=0),J21,"")</f>
      </c>
      <c r="AG21" s="1">
        <f>IF(AND(OR(E21=1,E21=0),G21=1,F21=1),J21,"")</f>
      </c>
      <c r="AH21" s="1">
        <f>IF(AND(OR(E21=1,E21=0),G21=2,F21=1),J21,"")</f>
      </c>
      <c r="AI21" s="1">
        <f>IF(AND(OR(E21=1,E21=0),G21=3,F21=1),J21,"")</f>
      </c>
      <c r="AJ21" s="1">
        <f>IF(AND(OR(E21=2,E21=0),G21=1,F21=0),J21,"")</f>
      </c>
      <c r="AK21" s="1">
        <f>IF(AND(OR(E21=2,E21=0),G21=2,F21=0),J21,"")</f>
      </c>
      <c r="AL21" s="1">
        <f>IF(AND(OR(E21=2,E21=0),G21=3,F21=0),J21,"")</f>
      </c>
      <c r="AM21" s="1">
        <f>IF(AND(OR(E21=2,E21=0),G21=1,F21=1),J21,"")</f>
      </c>
      <c r="AN21" s="1">
        <f>IF(AND(OR(E21=2,E21=0),G21=2,F21=1),J21,"")</f>
      </c>
      <c r="AO21" s="1">
        <f>IF(AND(OR(E21=2,E21=0),G21=3,F21=1),J21,"")</f>
      </c>
      <c r="AP21" s="1">
        <f>IF(AND(OR(E21=3,E21=0),G21=1,F21=0),J21,"")</f>
      </c>
      <c r="AQ21" s="1">
        <f>IF(AND(OR(E21=3,E21=0),G21=2,F21=0),J21,"")</f>
      </c>
      <c r="AR21" s="1">
        <f>IF(AND(OR(E21=3,E21=0),G21=3,F21=0),J21,"")</f>
      </c>
      <c r="AS21" s="1">
        <f>IF(AND(OR(E21=3,E21=0),G21=1,F21=1),J21,"")</f>
      </c>
      <c r="AT21" s="1">
        <f>IF(AND(OR(E21=3,E21=0),G21=2,F21=1),J21,"")</f>
      </c>
      <c r="AU21" s="1">
        <f>IF(AND(OR(E21=3,E21=0),G21=3,F21=1),J21,"")</f>
      </c>
    </row>
    <row customHeight="true" ht="19" r="22">
      <c r="A22" s="99" t="str">
        <v>ガールズ♡トーク（女子会）</v>
      </c>
      <c r="B22" s="99" t="str"/>
      <c r="C22" s="99" t="str"/>
      <c r="D22" s="116">
        <f>持有情况!AT100-ROW()*1e-05</f>
      </c>
      <c r="E22" s="116">
        <v>1</v>
      </c>
      <c r="F22" s="117">
        <v>0</v>
      </c>
      <c r="G22" s="116">
        <v>2</v>
      </c>
      <c r="H22" s="117">
        <v>0</v>
      </c>
      <c r="I22" s="1" t="str"/>
      <c r="J22" s="116">
        <f>INT(45+10*路线!B31+6*路线!B29+13*路线!B15+30)-ROW()*1e-05</f>
      </c>
      <c r="L22" s="1">
        <f>IF(AND(OR(E22=1,E22=0),G22=1),D22,"")</f>
      </c>
      <c r="M22" s="1">
        <f>IF(AND(OR(E22=2,E22=0),G22=1),D22,"")</f>
      </c>
      <c r="N22" s="1">
        <f>IF(AND(OR(E22=3,E22=0),G22=1),D22,"")</f>
      </c>
      <c r="O22" s="1">
        <f>IF(AND(OR(E22=1,E22=0),G22=2),D22,"")</f>
      </c>
      <c r="P22" s="1">
        <f>IF(AND(OR(E22=2,E22=0),G22=2),D22,"")</f>
      </c>
      <c r="Q22" s="1">
        <f>IF(AND(OR(E22=3,E22=0),G22=2),D22,"")</f>
      </c>
      <c r="R22" s="1">
        <f>IF(AND(OR(E22=1,E22=0),G22=3),D22,"")</f>
      </c>
      <c r="S22" s="1">
        <f>IF(AND(OR(E22=2,E22=0),G22=3),D22,"")</f>
      </c>
      <c r="T22" s="1">
        <f>IF(AND(OR(E22=3,E22=0),G22=3),D22,"")</f>
      </c>
      <c r="U22" s="1">
        <f>IF(AND(OR(E22=1,E22=0),G22=1,F22=1),D22,"")</f>
      </c>
      <c r="V22" s="1">
        <f>IF(AND(OR(E22=1,E22=0),G22=2,F22=1),D22,"")</f>
      </c>
      <c r="W22" s="1">
        <f>IF(AND(OR(E22=1,E22=0),G22=3,F22=1),D22,"")</f>
      </c>
      <c r="X22" s="1">
        <f>IF(AND(OR(E22=2,E22=0),G22=1,F22=1),D22,"")</f>
      </c>
      <c r="Y22" s="1">
        <f>IF(AND(OR(E22=2,E22=0),G22=2,F22=1),D22,"")</f>
      </c>
      <c r="Z22" s="1">
        <f>IF(AND(OR(E22=2,E22=0),G22=3,F22=1),D22,"")</f>
      </c>
      <c r="AA22" s="1">
        <f>IF(AND(OR(E22=3,E22=0),G22=1,F22=1),D22,"")</f>
      </c>
      <c r="AB22" s="1">
        <f>IF(AND(OR(E22=3,E22=0),G22=2,F22=1),D22,"")</f>
      </c>
      <c r="AC22" s="1">
        <f>IF(AND(OR(E22=3,E22=0),G22=3,F22=1),D22,"")</f>
      </c>
      <c r="AD22" s="1">
        <f>IF(AND(OR(E22=1,E22=0),G22=1,F22=0),J22,"")</f>
      </c>
      <c r="AE22" s="1">
        <f>IF(AND(OR(E22=1,E22=0),G22=2,F22=0),J22,"")</f>
      </c>
      <c r="AF22" s="1">
        <f>IF(AND(OR(E22=1,E22=0),G22=3,F22=0),J22,"")</f>
      </c>
      <c r="AG22" s="1">
        <f>IF(AND(OR(E22=1,E22=0),G22=1,F22=1),J22,"")</f>
      </c>
      <c r="AH22" s="1">
        <f>IF(AND(OR(E22=1,E22=0),G22=2,F22=1),J22,"")</f>
      </c>
      <c r="AI22" s="1">
        <f>IF(AND(OR(E22=1,E22=0),G22=3,F22=1),J22,"")</f>
      </c>
      <c r="AJ22" s="1">
        <f>IF(AND(OR(E22=2,E22=0),G22=1,F22=0),J22,"")</f>
      </c>
      <c r="AK22" s="1">
        <f>IF(AND(OR(E22=2,E22=0),G22=2,F22=0),J22,"")</f>
      </c>
      <c r="AL22" s="1">
        <f>IF(AND(OR(E22=2,E22=0),G22=3,F22=0),J22,"")</f>
      </c>
      <c r="AM22" s="1">
        <f>IF(AND(OR(E22=2,E22=0),G22=1,F22=1),J22,"")</f>
      </c>
      <c r="AN22" s="1">
        <f>IF(AND(OR(E22=2,E22=0),G22=2,F22=1),J22,"")</f>
      </c>
      <c r="AO22" s="1">
        <f>IF(AND(OR(E22=2,E22=0),G22=3,F22=1),J22,"")</f>
      </c>
      <c r="AP22" s="1">
        <f>IF(AND(OR(E22=3,E22=0),G22=1,F22=0),J22,"")</f>
      </c>
      <c r="AQ22" s="1">
        <f>IF(AND(OR(E22=3,E22=0),G22=2,F22=0),J22,"")</f>
      </c>
      <c r="AR22" s="1">
        <f>IF(AND(OR(E22=3,E22=0),G22=3,F22=0),J22,"")</f>
      </c>
      <c r="AS22" s="1">
        <f>IF(AND(OR(E22=3,E22=0),G22=1,F22=1),J22,"")</f>
      </c>
      <c r="AT22" s="1">
        <f>IF(AND(OR(E22=3,E22=0),G22=2,F22=1),J22,"")</f>
      </c>
      <c r="AU22" s="1">
        <f>IF(AND(OR(E22=3,E22=0),G22=3,F22=1),J22,"")</f>
      </c>
    </row>
    <row customHeight="true" ht="19" r="23">
      <c r="A23" s="86" t="str">
        <v>お姉ちゃんに任せなさい！（黄发卡）</v>
      </c>
      <c r="B23" s="86" t="str"/>
      <c r="C23" s="86" t="str"/>
      <c r="D23" s="116">
        <f>持有情况!Z28-ROW()*1e-05</f>
      </c>
      <c r="E23" s="117">
        <v>0</v>
      </c>
      <c r="F23" s="117">
        <v>0</v>
      </c>
      <c r="G23" s="116">
        <v>3</v>
      </c>
      <c r="H23" s="116">
        <v>1</v>
      </c>
      <c r="I23" s="111" t="str">
        <v>黄发卡</v>
      </c>
      <c r="J23" s="116">
        <f>INT((8.5/100)*路线!B11+17*路线!B15+4*(路线!B28+路线!B29)+40)-ROW()*1e-05</f>
      </c>
      <c r="L23" s="1">
        <f>IF(AND(OR(E23=1,E23=0),G23=1),D23,"")</f>
      </c>
      <c r="M23" s="1">
        <f>IF(AND(OR(E23=2,E23=0),G23=1),D23,"")</f>
      </c>
      <c r="N23" s="1">
        <f>IF(AND(OR(E23=3,E23=0),G23=1),D23,"")</f>
      </c>
      <c r="O23" s="1">
        <f>IF(AND(OR(E23=1,E23=0),G23=2),D23,"")</f>
      </c>
      <c r="P23" s="1">
        <f>IF(AND(OR(E23=2,E23=0),G23=2),D23,"")</f>
      </c>
      <c r="Q23" s="1">
        <f>IF(AND(OR(E23=3,E23=0),G23=2),D23,"")</f>
      </c>
      <c r="R23" s="1">
        <f>IF(AND(OR(E23=1,E23=0),G23=3),D23,"")</f>
      </c>
      <c r="S23" s="1">
        <f>IF(AND(OR(E23=2,E23=0),G23=3),D23,"")</f>
      </c>
      <c r="T23" s="1">
        <f>IF(AND(OR(E23=3,E23=0),G23=3),D23,"")</f>
      </c>
      <c r="U23" s="1">
        <f>IF(AND(OR(E23=1,E23=0),G23=1,F23=1),D23,"")</f>
      </c>
      <c r="V23" s="1">
        <f>IF(AND(OR(E23=1,E23=0),G23=2,F23=1),D23,"")</f>
      </c>
      <c r="W23" s="1">
        <f>IF(AND(OR(E23=1,E23=0),G23=3,F23=1),D23,"")</f>
      </c>
      <c r="X23" s="1">
        <f>IF(AND(OR(E23=2,E23=0),G23=1,F23=1),D23,"")</f>
      </c>
      <c r="Y23" s="1">
        <f>IF(AND(OR(E23=2,E23=0),G23=2,F23=1),D23,"")</f>
      </c>
      <c r="Z23" s="1">
        <f>IF(AND(OR(E23=2,E23=0),G23=3,F23=1),D23,"")</f>
      </c>
      <c r="AA23" s="1">
        <f>IF(AND(OR(E23=3,E23=0),G23=1,F23=1),D23,"")</f>
      </c>
      <c r="AB23" s="1">
        <f>IF(AND(OR(E23=3,E23=0),G23=2,F23=1),D23,"")</f>
      </c>
      <c r="AC23" s="1">
        <f>IF(AND(OR(E23=3,E23=0),G23=3,F23=1),D23,"")</f>
      </c>
      <c r="AD23" s="1">
        <f>IF(AND(OR(E23=1,E23=0),G23=1,F23=0),J23,"")</f>
      </c>
      <c r="AE23" s="1">
        <f>IF(AND(OR(E23=1,E23=0),G23=2,F23=0),J23,"")</f>
      </c>
      <c r="AF23" s="1">
        <f>IF(AND(OR(E23=1,E23=0),G23=3,F23=0),J23,"")</f>
      </c>
      <c r="AG23" s="1">
        <f>IF(AND(OR(E23=1,E23=0),G23=1,F23=1),J23,"")</f>
      </c>
      <c r="AH23" s="1">
        <f>IF(AND(OR(E23=1,E23=0),G23=2,F23=1),J23,"")</f>
      </c>
      <c r="AI23" s="1">
        <f>IF(AND(OR(E23=1,E23=0),G23=3,F23=1),J23,"")</f>
      </c>
      <c r="AJ23" s="1">
        <f>IF(AND(OR(E23=2,E23=0),G23=1,F23=0),J23,"")</f>
      </c>
      <c r="AK23" s="1">
        <f>IF(AND(OR(E23=2,E23=0),G23=2,F23=0),J23,"")</f>
      </c>
      <c r="AL23" s="1">
        <f>IF(AND(OR(E23=2,E23=0),G23=3,F23=0),J23,"")</f>
      </c>
      <c r="AM23" s="1">
        <f>IF(AND(OR(E23=2,E23=0),G23=1,F23=1),J23,"")</f>
      </c>
      <c r="AN23" s="1">
        <f>IF(AND(OR(E23=2,E23=0),G23=2,F23=1),J23,"")</f>
      </c>
      <c r="AO23" s="1">
        <f>IF(AND(OR(E23=2,E23=0),G23=3,F23=1),J23,"")</f>
      </c>
      <c r="AP23" s="1">
        <f>IF(AND(OR(E23=3,E23=0),G23=1,F23=0),J23,"")</f>
      </c>
      <c r="AQ23" s="1">
        <f>IF(AND(OR(E23=3,E23=0),G23=2,F23=0),J23,"")</f>
      </c>
      <c r="AR23" s="1">
        <f>IF(AND(OR(E23=3,E23=0),G23=3,F23=0),J23,"")</f>
      </c>
      <c r="AS23" s="1">
        <f>IF(AND(OR(E23=3,E23=0),G23=1,F23=1),J23,"")</f>
      </c>
      <c r="AT23" s="1">
        <f>IF(AND(OR(E23=3,E23=0),G23=2,F23=1),J23,"")</f>
      </c>
      <c r="AU23" s="1">
        <f>IF(AND(OR(E23=3,E23=0),G23=3,F23=1),J23,"")</f>
      </c>
    </row>
    <row customHeight="true" ht="19" r="24">
      <c r="A24" s="75" t="str">
        <v>絶対にお渡ししますわっ！（巧克力）</v>
      </c>
      <c r="B24" s="75" t="str"/>
      <c r="C24" s="75" t="str"/>
      <c r="D24" s="116">
        <f>持有情况!F88-ROW()*1e-05</f>
      </c>
      <c r="E24" s="116">
        <v>2</v>
      </c>
      <c r="F24" s="116">
        <v>1</v>
      </c>
      <c r="G24" s="116">
        <v>1</v>
      </c>
      <c r="H24" s="116">
        <v>1</v>
      </c>
      <c r="I24" s="111" t="str">
        <v>巧克力</v>
      </c>
      <c r="J24" s="116">
        <f>INT(60+6*路线!B14+15*路线!B31+40)-ROW()*1e-05</f>
      </c>
      <c r="L24" s="1">
        <f>IF(AND(OR(E24=1,E24=0),G24=1),D24,"")</f>
      </c>
      <c r="M24" s="1">
        <f>IF(AND(OR(E24=2,E24=0),G24=1),D24,"")</f>
      </c>
      <c r="N24" s="1">
        <f>IF(AND(OR(E24=3,E24=0),G24=1),D24,"")</f>
      </c>
      <c r="O24" s="1">
        <f>IF(AND(OR(E24=1,E24=0),G24=2),D24,"")</f>
      </c>
      <c r="P24" s="1">
        <f>IF(AND(OR(E24=2,E24=0),G24=2),D24,"")</f>
      </c>
      <c r="Q24" s="1">
        <f>IF(AND(OR(E24=3,E24=0),G24=2),D24,"")</f>
      </c>
      <c r="R24" s="1">
        <f>IF(AND(OR(E24=1,E24=0),G24=3),D24,"")</f>
      </c>
      <c r="S24" s="1">
        <f>IF(AND(OR(E24=2,E24=0),G24=3),D24,"")</f>
      </c>
      <c r="T24" s="1">
        <f>IF(AND(OR(E24=3,E24=0),G24=3),D24,"")</f>
      </c>
      <c r="U24" s="1">
        <f>IF(AND(OR(E24=1,E24=0),G24=1,F24=1),D24,"")</f>
      </c>
      <c r="V24" s="1">
        <f>IF(AND(OR(E24=1,E24=0),G24=2,F24=1),D24,"")</f>
      </c>
      <c r="W24" s="1">
        <f>IF(AND(OR(E24=1,E24=0),G24=3,F24=1),D24,"")</f>
      </c>
      <c r="X24" s="1">
        <f>IF(AND(OR(E24=2,E24=0),G24=1,F24=1),D24,"")</f>
      </c>
      <c r="Y24" s="1">
        <f>IF(AND(OR(E24=2,E24=0),G24=2,F24=1),D24,"")</f>
      </c>
      <c r="Z24" s="1">
        <f>IF(AND(OR(E24=2,E24=0),G24=3,F24=1),D24,"")</f>
      </c>
      <c r="AA24" s="1">
        <f>IF(AND(OR(E24=3,E24=0),G24=1,F24=1),D24,"")</f>
      </c>
      <c r="AB24" s="1">
        <f>IF(AND(OR(E24=3,E24=0),G24=2,F24=1),D24,"")</f>
      </c>
      <c r="AC24" s="1">
        <f>IF(AND(OR(E24=3,E24=0),G24=3,F24=1),D24,"")</f>
      </c>
      <c r="AD24" s="1">
        <f>IF(AND(OR(E24=1,E24=0),G24=1,F24=0),J24,"")</f>
      </c>
      <c r="AE24" s="1">
        <f>IF(AND(OR(E24=1,E24=0),G24=2,F24=0),J24,"")</f>
      </c>
      <c r="AF24" s="1">
        <f>IF(AND(OR(E24=1,E24=0),G24=3,F24=0),J24,"")</f>
      </c>
      <c r="AG24" s="1">
        <f>IF(AND(OR(E24=1,E24=0),G24=1,F24=1),J24,"")</f>
      </c>
      <c r="AH24" s="1">
        <f>IF(AND(OR(E24=1,E24=0),G24=2,F24=1),J24,"")</f>
      </c>
      <c r="AI24" s="1">
        <f>IF(AND(OR(E24=1,E24=0),G24=3,F24=1),J24,"")</f>
      </c>
      <c r="AJ24" s="1">
        <f>IF(AND(OR(E24=2,E24=0),G24=1,F24=0),J24,"")</f>
      </c>
      <c r="AK24" s="1">
        <f>IF(AND(OR(E24=2,E24=0),G24=2,F24=0),J24,"")</f>
      </c>
      <c r="AL24" s="1">
        <f>IF(AND(OR(E24=2,E24=0),G24=3,F24=0),J24,"")</f>
      </c>
      <c r="AM24" s="1">
        <f>IF(AND(OR(E24=2,E24=0),G24=1,F24=1),J24,"")</f>
      </c>
      <c r="AN24" s="1">
        <f>IF(AND(OR(E24=2,E24=0),G24=2,F24=1),J24,"")</f>
      </c>
      <c r="AO24" s="1">
        <f>IF(AND(OR(E24=2,E24=0),G24=3,F24=1),J24,"")</f>
      </c>
      <c r="AP24" s="1">
        <f>IF(AND(OR(E24=3,E24=0),G24=1,F24=0),J24,"")</f>
      </c>
      <c r="AQ24" s="1">
        <f>IF(AND(OR(E24=3,E24=0),G24=2,F24=0),J24,"")</f>
      </c>
      <c r="AR24" s="1">
        <f>IF(AND(OR(E24=3,E24=0),G24=3,F24=0),J24,"")</f>
      </c>
      <c r="AS24" s="1">
        <f>IF(AND(OR(E24=3,E24=0),G24=1,F24=1),J24,"")</f>
      </c>
      <c r="AT24" s="1">
        <f>IF(AND(OR(E24=3,E24=0),G24=2,F24=1),J24,"")</f>
      </c>
      <c r="AU24" s="1">
        <f>IF(AND(OR(E24=3,E24=0),G24=3,F24=1),J24,"")</f>
      </c>
    </row>
    <row customHeight="true" ht="19" r="25">
      <c r="A25" s="86" t="str">
        <v>ほっぺた、ぷに（黄永年）</v>
      </c>
      <c r="B25" s="86" t="str"/>
      <c r="C25" s="86" t="str"/>
      <c r="D25" s="116">
        <f>IF(路线!B4="计算",持有情况!BG16,持有情况!BD16)-ROW()*1e-05</f>
      </c>
      <c r="E25" s="117">
        <v>0</v>
      </c>
      <c r="F25" s="117">
        <v>0</v>
      </c>
      <c r="G25" s="116">
        <v>3</v>
      </c>
      <c r="H25" s="117">
        <v>0</v>
      </c>
      <c r="I25" s="1" t="str"/>
      <c r="J25" s="116">
        <f>IF(路线!B4="计算",INT((6.4/100)*路线!B11+5*路线!B30+13*路线!B16+30+持有情况!AM15),INT((6.4/100)*路线!B11+5*路线!B30+13*路线!B16+30))-ROW()*1e-05</f>
      </c>
      <c r="L25" s="1">
        <f>IF(AND(OR(E25=1,E25=0),G25=1),D25,"")</f>
      </c>
      <c r="M25" s="1">
        <f>IF(AND(OR(E25=2,E25=0),G25=1),D25,"")</f>
      </c>
      <c r="N25" s="1">
        <f>IF(AND(OR(E25=3,E25=0),G25=1),D25,"")</f>
      </c>
      <c r="O25" s="1">
        <f>IF(AND(OR(E25=1,E25=0),G25=2),D25,"")</f>
      </c>
      <c r="P25" s="1">
        <f>IF(AND(OR(E25=2,E25=0),G25=2),D25,"")</f>
      </c>
      <c r="Q25" s="1">
        <f>IF(AND(OR(E25=3,E25=0),G25=2),D25,"")</f>
      </c>
      <c r="R25" s="1">
        <f>IF(AND(OR(E25=1,E25=0),G25=3),D25,"")</f>
      </c>
      <c r="S25" s="1">
        <f>IF(AND(OR(E25=2,E25=0),G25=3),D25,"")</f>
      </c>
      <c r="T25" s="1">
        <f>IF(AND(OR(E25=3,E25=0),G25=3),D25,"")</f>
      </c>
      <c r="U25" s="1">
        <f>IF(AND(OR(E25=1,E25=0),G25=1,F25=1),D25,"")</f>
      </c>
      <c r="V25" s="1">
        <f>IF(AND(OR(E25=1,E25=0),G25=2,F25=1),D25,"")</f>
      </c>
      <c r="W25" s="1">
        <f>IF(AND(OR(E25=1,E25=0),G25=3,F25=1),D25,"")</f>
      </c>
      <c r="X25" s="1">
        <f>IF(AND(OR(E25=2,E25=0),G25=1,F25=1),D25,"")</f>
      </c>
      <c r="Y25" s="1">
        <f>IF(AND(OR(E25=2,E25=0),G25=2,F25=1),D25,"")</f>
      </c>
      <c r="Z25" s="1">
        <f>IF(AND(OR(E25=2,E25=0),G25=3,F25=1),D25,"")</f>
      </c>
      <c r="AA25" s="1">
        <f>IF(AND(OR(E25=3,E25=0),G25=1,F25=1),D25,"")</f>
      </c>
      <c r="AB25" s="1">
        <f>IF(AND(OR(E25=3,E25=0),G25=2,F25=1),D25,"")</f>
      </c>
      <c r="AC25" s="1">
        <f>IF(AND(OR(E25=3,E25=0),G25=3,F25=1),D25,"")</f>
      </c>
      <c r="AD25" s="1">
        <f>IF(AND(OR(E25=1,E25=0),G25=1,F25=0),J25,"")</f>
      </c>
      <c r="AE25" s="1">
        <f>IF(AND(OR(E25=1,E25=0),G25=2,F25=0),J25,"")</f>
      </c>
      <c r="AF25" s="1">
        <f>IF(AND(OR(E25=1,E25=0),G25=3,F25=0),J25,"")</f>
      </c>
      <c r="AG25" s="1">
        <f>IF(AND(OR(E25=1,E25=0),G25=1,F25=1),J25,"")</f>
      </c>
      <c r="AH25" s="1">
        <f>IF(AND(OR(E25=1,E25=0),G25=2,F25=1),J25,"")</f>
      </c>
      <c r="AI25" s="1">
        <f>IF(AND(OR(E25=1,E25=0),G25=3,F25=1),J25,"")</f>
      </c>
      <c r="AJ25" s="1">
        <f>IF(AND(OR(E25=2,E25=0),G25=1,F25=0),J25,"")</f>
      </c>
      <c r="AK25" s="1">
        <f>IF(AND(OR(E25=2,E25=0),G25=2,F25=0),J25,"")</f>
      </c>
      <c r="AL25" s="1">
        <f>IF(AND(OR(E25=2,E25=0),G25=3,F25=0),J25,"")</f>
      </c>
      <c r="AM25" s="1">
        <f>IF(AND(OR(E25=2,E25=0),G25=1,F25=1),J25,"")</f>
      </c>
      <c r="AN25" s="1">
        <f>IF(AND(OR(E25=2,E25=0),G25=2,F25=1),J25,"")</f>
      </c>
      <c r="AO25" s="1">
        <f>IF(AND(OR(E25=2,E25=0),G25=3,F25=1),J25,"")</f>
      </c>
      <c r="AP25" s="1">
        <f>IF(AND(OR(E25=3,E25=0),G25=1,F25=0),J25,"")</f>
      </c>
      <c r="AQ25" s="1">
        <f>IF(AND(OR(E25=3,E25=0),G25=2,F25=0),J25,"")</f>
      </c>
      <c r="AR25" s="1">
        <f>IF(AND(OR(E25=3,E25=0),G25=3,F25=0),J25,"")</f>
      </c>
      <c r="AS25" s="1">
        <f>IF(AND(OR(E25=3,E25=0),G25=1,F25=1),J25,"")</f>
      </c>
      <c r="AT25" s="1">
        <f>IF(AND(OR(E25=3,E25=0),G25=2,F25=1),J25,"")</f>
      </c>
      <c r="AU25" s="1">
        <f>IF(AND(OR(E25=3,E25=0),G25=3,F25=1),J25,"")</f>
      </c>
    </row>
    <row customHeight="true" ht="19" r="26">
      <c r="A26" s="86" t="str">
        <v>奥義、三重とび！（花式跳绳）</v>
      </c>
      <c r="B26" s="86" t="str"/>
      <c r="C26" s="86" t="str"/>
      <c r="D26" s="116">
        <f>IF(路线!B4="计算",持有情况!BG82,持有情况!BD82)-ROW()*1e-05</f>
      </c>
      <c r="E26" s="116">
        <v>3</v>
      </c>
      <c r="F26" s="117">
        <v>0</v>
      </c>
      <c r="G26" s="116">
        <v>3</v>
      </c>
      <c r="H26" s="117">
        <v>0</v>
      </c>
      <c r="I26" s="1" t="str"/>
      <c r="J26" s="116">
        <f>IF(路线!B4="计算",INT(45+6*路线!B29+17+5*路线!B30+30+持有情况!BG81),INT(45+6*路线!B29+17+5*路线!B30+30))-ROW()*1e-05</f>
      </c>
      <c r="L26" s="1">
        <f>IF(AND(OR(E26=1,E26=0),G26=1),D26,"")</f>
      </c>
      <c r="M26" s="1">
        <f>IF(AND(OR(E26=2,E26=0),G26=1),D26,"")</f>
      </c>
      <c r="N26" s="1">
        <f>IF(AND(OR(E26=3,E26=0),G26=1),D26,"")</f>
      </c>
      <c r="O26" s="1">
        <f>IF(AND(OR(E26=1,E26=0),G26=2),D26,"")</f>
      </c>
      <c r="P26" s="1">
        <f>IF(AND(OR(E26=2,E26=0),G26=2),D26,"")</f>
      </c>
      <c r="Q26" s="1">
        <f>IF(AND(OR(E26=3,E26=0),G26=2),D26,"")</f>
      </c>
      <c r="R26" s="1">
        <f>IF(AND(OR(E26=1,E26=0),G26=3),D26,"")</f>
      </c>
      <c r="S26" s="1">
        <f>IF(AND(OR(E26=2,E26=0),G26=3),D26,"")</f>
      </c>
      <c r="T26" s="1">
        <f>IF(AND(OR(E26=3,E26=0),G26=3),D26,"")</f>
      </c>
      <c r="U26" s="1">
        <f>IF(AND(OR(E26=1,E26=0),G26=1,F26=1),D26,"")</f>
      </c>
      <c r="V26" s="1">
        <f>IF(AND(OR(E26=1,E26=0),G26=2,F26=1),D26,"")</f>
      </c>
      <c r="W26" s="1">
        <f>IF(AND(OR(E26=1,E26=0),G26=3,F26=1),D26,"")</f>
      </c>
      <c r="X26" s="1">
        <f>IF(AND(OR(E26=2,E26=0),G26=1,F26=1),D26,"")</f>
      </c>
      <c r="Y26" s="1">
        <f>IF(AND(OR(E26=2,E26=0),G26=2,F26=1),D26,"")</f>
      </c>
      <c r="Z26" s="1">
        <f>IF(AND(OR(E26=2,E26=0),G26=3,F26=1),D26,"")</f>
      </c>
      <c r="AA26" s="1">
        <f>IF(AND(OR(E26=3,E26=0),G26=1,F26=1),D26,"")</f>
      </c>
      <c r="AB26" s="1">
        <f>IF(AND(OR(E26=3,E26=0),G26=2,F26=1),D26,"")</f>
      </c>
      <c r="AC26" s="1">
        <f>IF(AND(OR(E26=3,E26=0),G26=3,F26=1),D26,"")</f>
      </c>
      <c r="AD26" s="1">
        <f>IF(AND(OR(E26=1,E26=0),G26=1,F26=0),J26,"")</f>
      </c>
      <c r="AE26" s="1">
        <f>IF(AND(OR(E26=1,E26=0),G26=2,F26=0),J26,"")</f>
      </c>
      <c r="AF26" s="1">
        <f>IF(AND(OR(E26=1,E26=0),G26=3,F26=0),J26,"")</f>
      </c>
      <c r="AG26" s="1">
        <f>IF(AND(OR(E26=1,E26=0),G26=1,F26=1),J26,"")</f>
      </c>
      <c r="AH26" s="1">
        <f>IF(AND(OR(E26=1,E26=0),G26=2,F26=1),J26,"")</f>
      </c>
      <c r="AI26" s="1">
        <f>IF(AND(OR(E26=1,E26=0),G26=3,F26=1),J26,"")</f>
      </c>
      <c r="AJ26" s="1">
        <f>IF(AND(OR(E26=2,E26=0),G26=1,F26=0),J26,"")</f>
      </c>
      <c r="AK26" s="1">
        <f>IF(AND(OR(E26=2,E26=0),G26=2,F26=0),J26,"")</f>
      </c>
      <c r="AL26" s="1">
        <f>IF(AND(OR(E26=2,E26=0),G26=3,F26=0),J26,"")</f>
      </c>
      <c r="AM26" s="1">
        <f>IF(AND(OR(E26=2,E26=0),G26=1,F26=1),J26,"")</f>
      </c>
      <c r="AN26" s="1">
        <f>IF(AND(OR(E26=2,E26=0),G26=2,F26=1),J26,"")</f>
      </c>
      <c r="AO26" s="1">
        <f>IF(AND(OR(E26=2,E26=0),G26=3,F26=1),J26,"")</f>
      </c>
      <c r="AP26" s="1">
        <f>IF(AND(OR(E26=3,E26=0),G26=1,F26=0),J26,"")</f>
      </c>
      <c r="AQ26" s="1">
        <f>IF(AND(OR(E26=3,E26=0),G26=2,F26=0),J26,"")</f>
      </c>
      <c r="AR26" s="1">
        <f>IF(AND(OR(E26=3,E26=0),G26=3,F26=0),J26,"")</f>
      </c>
      <c r="AS26" s="1">
        <f>IF(AND(OR(E26=3,E26=0),G26=1,F26=1),J26,"")</f>
      </c>
      <c r="AT26" s="1">
        <f>IF(AND(OR(E26=3,E26=0),G26=2,F26=1),J26,"")</f>
      </c>
      <c r="AU26" s="1">
        <f>IF(AND(OR(E26=3,E26=0),G26=3,F26=1),J26,"")</f>
      </c>
    </row>
    <row customHeight="true" ht="19" r="27">
      <c r="A27" s="75" t="str">
        <v>こいつらめんどくさー（红吵架）</v>
      </c>
      <c r="B27" s="75" t="str"/>
      <c r="C27" s="75" t="str"/>
      <c r="D27" s="116">
        <f>持有情况!F28-ROW()*1e-05</f>
      </c>
      <c r="E27" s="116">
        <v>1</v>
      </c>
      <c r="F27" s="117">
        <v>0</v>
      </c>
      <c r="G27" s="116">
        <v>1</v>
      </c>
      <c r="H27" s="116">
        <v>1</v>
      </c>
      <c r="I27" s="111" t="str">
        <v>红吵架</v>
      </c>
      <c r="J27" s="116">
        <f>IF(路线!C6="计算",INT(路线!B11*(8.5/100)+7*路线!B29+13*路线!B15+40+20)-ROW()*1e-05,INT(路线!B11*(8.5/100)+7*路线!B29+13*路线!B15+40)-ROW()*1e-05)</f>
      </c>
      <c r="L27" s="1">
        <f>IF(AND(OR(E27=1,E27=0),G27=1),D27,"")</f>
      </c>
      <c r="M27" s="1">
        <f>IF(AND(OR(E27=2,E27=0),G27=1),D27,"")</f>
      </c>
      <c r="N27" s="1">
        <f>IF(AND(OR(E27=3,E27=0),G27=1),D27,"")</f>
      </c>
      <c r="O27" s="1">
        <f>IF(AND(OR(E27=1,E27=0),G27=2),D27,"")</f>
      </c>
      <c r="P27" s="1">
        <f>IF(AND(OR(E27=2,E27=0),G27=2),D27,"")</f>
      </c>
      <c r="Q27" s="1">
        <f>IF(AND(OR(E27=3,E27=0),G27=2),D27,"")</f>
      </c>
      <c r="R27" s="1">
        <f>IF(AND(OR(E27=1,E27=0),G27=3),D27,"")</f>
      </c>
      <c r="S27" s="1">
        <f>IF(AND(OR(E27=2,E27=0),G27=3),D27,"")</f>
      </c>
      <c r="T27" s="1">
        <f>IF(AND(OR(E27=3,E27=0),G27=3),D27,"")</f>
      </c>
      <c r="U27" s="1">
        <f>IF(AND(OR(E27=1,E27=0),G27=1,F27=1),D27,"")</f>
      </c>
      <c r="V27" s="1">
        <f>IF(AND(OR(E27=1,E27=0),G27=2,F27=1),D27,"")</f>
      </c>
      <c r="W27" s="1">
        <f>IF(AND(OR(E27=1,E27=0),G27=3,F27=1),D27,"")</f>
      </c>
      <c r="X27" s="1">
        <f>IF(AND(OR(E27=2,E27=0),G27=1,F27=1),D27,"")</f>
      </c>
      <c r="Y27" s="1">
        <f>IF(AND(OR(E27=2,E27=0),G27=2,F27=1),D27,"")</f>
      </c>
      <c r="Z27" s="1">
        <f>IF(AND(OR(E27=2,E27=0),G27=3,F27=1),D27,"")</f>
      </c>
      <c r="AA27" s="1">
        <f>IF(AND(OR(E27=3,E27=0),G27=1,F27=1),D27,"")</f>
      </c>
      <c r="AB27" s="1">
        <f>IF(AND(OR(E27=3,E27=0),G27=2,F27=1),D27,"")</f>
      </c>
      <c r="AC27" s="1">
        <f>IF(AND(OR(E27=3,E27=0),G27=3,F27=1),D27,"")</f>
      </c>
      <c r="AD27" s="1">
        <f>IF(AND(OR(E27=1,E27=0),G27=1,F27=0),J27,"")</f>
      </c>
      <c r="AE27" s="1">
        <f>IF(AND(OR(E27=1,E27=0),G27=2,F27=0),J27,"")</f>
      </c>
      <c r="AF27" s="1">
        <f>IF(AND(OR(E27=1,E27=0),G27=3,F27=0),J27,"")</f>
      </c>
      <c r="AG27" s="1">
        <f>IF(AND(OR(E27=1,E27=0),G27=1,F27=1),J27,"")</f>
      </c>
      <c r="AH27" s="1">
        <f>IF(AND(OR(E27=1,E27=0),G27=2,F27=1),J27,"")</f>
      </c>
      <c r="AI27" s="1">
        <f>IF(AND(OR(E27=1,E27=0),G27=3,F27=1),J27,"")</f>
      </c>
      <c r="AJ27" s="1">
        <f>IF(AND(OR(E27=2,E27=0),G27=1,F27=0),J27,"")</f>
      </c>
      <c r="AK27" s="1">
        <f>IF(AND(OR(E27=2,E27=0),G27=2,F27=0),J27,"")</f>
      </c>
      <c r="AL27" s="1">
        <f>IF(AND(OR(E27=2,E27=0),G27=3,F27=0),J27,"")</f>
      </c>
      <c r="AM27" s="1">
        <f>IF(AND(OR(E27=2,E27=0),G27=1,F27=1),J27,"")</f>
      </c>
      <c r="AN27" s="1">
        <f>IF(AND(OR(E27=2,E27=0),G27=2,F27=1),J27,"")</f>
      </c>
      <c r="AO27" s="1">
        <f>IF(AND(OR(E27=2,E27=0),G27=3,F27=1),J27,"")</f>
      </c>
      <c r="AP27" s="1">
        <f>IF(AND(OR(E27=3,E27=0),G27=1,F27=0),J27,"")</f>
      </c>
      <c r="AQ27" s="1">
        <f>IF(AND(OR(E27=3,E27=0),G27=2,F27=0),J27,"")</f>
      </c>
      <c r="AR27" s="1">
        <f>IF(AND(OR(E27=3,E27=0),G27=3,F27=0),J27,"")</f>
      </c>
      <c r="AS27" s="1">
        <f>IF(AND(OR(E27=3,E27=0),G27=1,F27=1),J27,"")</f>
      </c>
      <c r="AT27" s="1">
        <f>IF(AND(OR(E27=3,E27=0),G27=2,F27=1),J27,"")</f>
      </c>
      <c r="AU27" s="1">
        <f>IF(AND(OR(E27=3,E27=0),G27=3,F27=1),J27,"")</f>
      </c>
    </row>
    <row customHeight="true" ht="19" r="28">
      <c r="A28" s="99" t="str">
        <v>わたしたち、やればできる（蓝厨房）</v>
      </c>
      <c r="B28" s="99" t="str"/>
      <c r="C28" s="99" t="str"/>
      <c r="D28" s="116">
        <f>持有情况!P16-ROW()*1e-05</f>
      </c>
      <c r="E28" s="116">
        <v>2</v>
      </c>
      <c r="F28" s="117">
        <v>0</v>
      </c>
      <c r="G28" s="116">
        <v>2</v>
      </c>
      <c r="H28" s="116">
        <v>1</v>
      </c>
      <c r="I28" s="111" t="str">
        <v>蓝厨房</v>
      </c>
      <c r="J28" s="116">
        <f>IF(路线!C6="计算",INT(路线!B11*(8.5/100)+7*路线!B29+13*路线!B15+40+20)-ROW()*1e-05,INT(路线!B11*(8.5/100)+7*路线!B29+13*路线!B15+40)-ROW()*1e-05)</f>
      </c>
      <c r="L28" s="1">
        <f>IF(AND(OR(E28=1,E28=0),G28=1),D28,"")</f>
      </c>
      <c r="M28" s="1">
        <f>IF(AND(OR(E28=2,E28=0),G28=1),D28,"")</f>
      </c>
      <c r="N28" s="1">
        <f>IF(AND(OR(E28=3,E28=0),G28=1),D28,"")</f>
      </c>
      <c r="O28" s="1">
        <f>IF(AND(OR(E28=1,E28=0),G28=2),D28,"")</f>
      </c>
      <c r="P28" s="1">
        <f>IF(AND(OR(E28=2,E28=0),G28=2),D28,"")</f>
      </c>
      <c r="Q28" s="1">
        <f>IF(AND(OR(E28=3,E28=0),G28=2),D28,"")</f>
      </c>
      <c r="R28" s="1">
        <f>IF(AND(OR(E28=1,E28=0),G28=3),D28,"")</f>
      </c>
      <c r="S28" s="1">
        <f>IF(AND(OR(E28=2,E28=0),G28=3),D28,"")</f>
      </c>
      <c r="T28" s="1">
        <f>IF(AND(OR(E28=3,E28=0),G28=3),D28,"")</f>
      </c>
      <c r="U28" s="1">
        <f>IF(AND(OR(E28=1,E28=0),G28=1,F28=1),D28,"")</f>
      </c>
      <c r="V28" s="1">
        <f>IF(AND(OR(E28=1,E28=0),G28=2,F28=1),D28,"")</f>
      </c>
      <c r="W28" s="1">
        <f>IF(AND(OR(E28=1,E28=0),G28=3,F28=1),D28,"")</f>
      </c>
      <c r="X28" s="1">
        <f>IF(AND(OR(E28=2,E28=0),G28=1,F28=1),D28,"")</f>
      </c>
      <c r="Y28" s="1">
        <f>IF(AND(OR(E28=2,E28=0),G28=2,F28=1),D28,"")</f>
      </c>
      <c r="Z28" s="1">
        <f>IF(AND(OR(E28=2,E28=0),G28=3,F28=1),D28,"")</f>
      </c>
      <c r="AA28" s="1">
        <f>IF(AND(OR(E28=3,E28=0),G28=1,F28=1),D28,"")</f>
      </c>
      <c r="AB28" s="1">
        <f>IF(AND(OR(E28=3,E28=0),G28=2,F28=1),D28,"")</f>
      </c>
      <c r="AC28" s="1">
        <f>IF(AND(OR(E28=3,E28=0),G28=3,F28=1),D28,"")</f>
      </c>
      <c r="AD28" s="1">
        <f>IF(AND(OR(E28=1,E28=0),G28=1,F28=0),J28,"")</f>
      </c>
      <c r="AE28" s="1">
        <f>IF(AND(OR(E28=1,E28=0),G28=2,F28=0),J28,"")</f>
      </c>
      <c r="AF28" s="1">
        <f>IF(AND(OR(E28=1,E28=0),G28=3,F28=0),J28,"")</f>
      </c>
      <c r="AG28" s="1">
        <f>IF(AND(OR(E28=1,E28=0),G28=1,F28=1),J28,"")</f>
      </c>
      <c r="AH28" s="1">
        <f>IF(AND(OR(E28=1,E28=0),G28=2,F28=1),J28,"")</f>
      </c>
      <c r="AI28" s="1">
        <f>IF(AND(OR(E28=1,E28=0),G28=3,F28=1),J28,"")</f>
      </c>
      <c r="AJ28" s="1">
        <f>IF(AND(OR(E28=2,E28=0),G28=1,F28=0),J28,"")</f>
      </c>
      <c r="AK28" s="1">
        <f>IF(AND(OR(E28=2,E28=0),G28=2,F28=0),J28,"")</f>
      </c>
      <c r="AL28" s="1">
        <f>IF(AND(OR(E28=2,E28=0),G28=3,F28=0),J28,"")</f>
      </c>
      <c r="AM28" s="1">
        <f>IF(AND(OR(E28=2,E28=0),G28=1,F28=1),J28,"")</f>
      </c>
      <c r="AN28" s="1">
        <f>IF(AND(OR(E28=2,E28=0),G28=2,F28=1),J28,"")</f>
      </c>
      <c r="AO28" s="1">
        <f>IF(AND(OR(E28=2,E28=0),G28=3,F28=1),J28,"")</f>
      </c>
      <c r="AP28" s="1">
        <f>IF(AND(OR(E28=3,E28=0),G28=1,F28=0),J28,"")</f>
      </c>
      <c r="AQ28" s="1">
        <f>IF(AND(OR(E28=3,E28=0),G28=2,F28=0),J28,"")</f>
      </c>
      <c r="AR28" s="1">
        <f>IF(AND(OR(E28=3,E28=0),G28=3,F28=0),J28,"")</f>
      </c>
      <c r="AS28" s="1">
        <f>IF(AND(OR(E28=3,E28=0),G28=1,F28=1),J28,"")</f>
      </c>
      <c r="AT28" s="1">
        <f>IF(AND(OR(E28=3,E28=0),G28=2,F28=1),J28,"")</f>
      </c>
      <c r="AU28" s="1">
        <f>IF(AND(OR(E28=3,E28=0),G28=3,F28=1),J28,"")</f>
      </c>
    </row>
    <row customHeight="true" ht="19" r="29">
      <c r="A29" s="99" t="str">
        <v>ひとりで立てますか？（溜冰）</v>
      </c>
      <c r="B29" s="99" t="str"/>
      <c r="C29" s="99" t="str"/>
      <c r="D29" s="116">
        <f>持有情况!P100-ROW()*1e-05</f>
      </c>
      <c r="E29" s="117">
        <v>0</v>
      </c>
      <c r="F29" s="116">
        <v>1</v>
      </c>
      <c r="G29" s="116">
        <v>2</v>
      </c>
      <c r="H29" s="116">
        <v>1</v>
      </c>
      <c r="I29" s="111" t="str">
        <v>溜冰</v>
      </c>
      <c r="J29" s="116">
        <f>INT(60+17*路线!B15+3*路线!B24+40)-ROW()*1e-05</f>
      </c>
      <c r="L29" s="1">
        <f>IF(AND(OR(E29=1,E29=0),G29=1),D29,"")</f>
      </c>
      <c r="M29" s="1">
        <f>IF(AND(OR(E29=2,E29=0),G29=1),D29,"")</f>
      </c>
      <c r="N29" s="1">
        <f>IF(AND(OR(E29=3,E29=0),G29=1),D29,"")</f>
      </c>
      <c r="O29" s="1">
        <f>IF(AND(OR(E29=1,E29=0),G29=2),D29,"")</f>
      </c>
      <c r="P29" s="1">
        <f>IF(AND(OR(E29=2,E29=0),G29=2),D29,"")</f>
      </c>
      <c r="Q29" s="1">
        <f>IF(AND(OR(E29=3,E29=0),G29=2),D29,"")</f>
      </c>
      <c r="R29" s="1">
        <f>IF(AND(OR(E29=1,E29=0),G29=3),D29,"")</f>
      </c>
      <c r="S29" s="1">
        <f>IF(AND(OR(E29=2,E29=0),G29=3),D29,"")</f>
      </c>
      <c r="T29" s="1">
        <f>IF(AND(OR(E29=3,E29=0),G29=3),D29,"")</f>
      </c>
      <c r="U29" s="1">
        <f>IF(AND(OR(E29=1,E29=0),G29=1,F29=1),D29,"")</f>
      </c>
      <c r="V29" s="1">
        <f>IF(AND(OR(E29=1,E29=0),G29=2,F29=1),D29,"")</f>
      </c>
      <c r="W29" s="1">
        <f>IF(AND(OR(E29=1,E29=0),G29=3,F29=1),D29,"")</f>
      </c>
      <c r="X29" s="1">
        <f>IF(AND(OR(E29=2,E29=0),G29=1,F29=1),D29,"")</f>
      </c>
      <c r="Y29" s="1">
        <f>IF(AND(OR(E29=2,E29=0),G29=2,F29=1),D29,"")</f>
      </c>
      <c r="Z29" s="1">
        <f>IF(AND(OR(E29=2,E29=0),G29=3,F29=1),D29,"")</f>
      </c>
      <c r="AA29" s="1">
        <f>IF(AND(OR(E29=3,E29=0),G29=1,F29=1),D29,"")</f>
      </c>
      <c r="AB29" s="1">
        <f>IF(AND(OR(E29=3,E29=0),G29=2,F29=1),D29,"")</f>
      </c>
      <c r="AC29" s="1">
        <f>IF(AND(OR(E29=3,E29=0),G29=3,F29=1),D29,"")</f>
      </c>
      <c r="AD29" s="1">
        <f>IF(AND(OR(E29=1,E29=0),G29=1,F29=0),J29,"")</f>
      </c>
      <c r="AE29" s="1">
        <f>IF(AND(OR(E29=1,E29=0),G29=2,F29=0),J29,"")</f>
      </c>
      <c r="AF29" s="1">
        <f>IF(AND(OR(E29=1,E29=0),G29=3,F29=0),J29,"")</f>
      </c>
      <c r="AG29" s="1">
        <f>IF(AND(OR(E29=1,E29=0),G29=1,F29=1),J29,"")</f>
      </c>
      <c r="AH29" s="1">
        <f>IF(AND(OR(E29=1,E29=0),G29=2,F29=1),J29,"")</f>
      </c>
      <c r="AI29" s="1">
        <f>IF(AND(OR(E29=1,E29=0),G29=3,F29=1),J29,"")</f>
      </c>
      <c r="AJ29" s="1">
        <f>IF(AND(OR(E29=2,E29=0),G29=1,F29=0),J29,"")</f>
      </c>
      <c r="AK29" s="1">
        <f>IF(AND(OR(E29=2,E29=0),G29=2,F29=0),J29,"")</f>
      </c>
      <c r="AL29" s="1">
        <f>IF(AND(OR(E29=2,E29=0),G29=3,F29=0),J29,"")</f>
      </c>
      <c r="AM29" s="1">
        <f>IF(AND(OR(E29=2,E29=0),G29=1,F29=1),J29,"")</f>
      </c>
      <c r="AN29" s="1">
        <f>IF(AND(OR(E29=2,E29=0),G29=2,F29=1),J29,"")</f>
      </c>
      <c r="AO29" s="1">
        <f>IF(AND(OR(E29=2,E29=0),G29=3,F29=1),J29,"")</f>
      </c>
      <c r="AP29" s="1">
        <f>IF(AND(OR(E29=3,E29=0),G29=1,F29=0),J29,"")</f>
      </c>
      <c r="AQ29" s="1">
        <f>IF(AND(OR(E29=3,E29=0),G29=2,F29=0),J29,"")</f>
      </c>
      <c r="AR29" s="1">
        <f>IF(AND(OR(E29=3,E29=0),G29=3,F29=0),J29,"")</f>
      </c>
      <c r="AS29" s="1">
        <f>IF(AND(OR(E29=3,E29=0),G29=1,F29=1),J29,"")</f>
      </c>
      <c r="AT29" s="1">
        <f>IF(AND(OR(E29=3,E29=0),G29=2,F29=1),J29,"")</f>
      </c>
      <c r="AU29" s="1">
        <f>IF(AND(OR(E29=3,E29=0),G29=3,F29=1),J29,"")</f>
      </c>
    </row>
    <row customHeight="true" ht="19" r="30">
      <c r="A30" s="86" t="str">
        <v>まるで王子様みたいな（王子）</v>
      </c>
      <c r="B30" s="86" t="str"/>
      <c r="C30" s="86" t="str"/>
      <c r="D30" s="116">
        <f>持有情况!Z16-ROW()*1e-05</f>
      </c>
      <c r="E30" s="117">
        <v>0</v>
      </c>
      <c r="F30" s="116">
        <v>1</v>
      </c>
      <c r="G30" s="116">
        <v>3</v>
      </c>
      <c r="H30" s="116">
        <v>1</v>
      </c>
      <c r="I30" s="111" t="str">
        <v>王子</v>
      </c>
      <c r="J30" s="116">
        <f>INT(60+17*路线!B15+3*路线!B24+40)-ROW()*1e-05</f>
      </c>
      <c r="L30" s="1">
        <f>IF(AND(OR(E30=1,E30=0),G30=1),D30,"")</f>
      </c>
      <c r="M30" s="1">
        <f>IF(AND(OR(E30=2,E30=0),G30=1),D30,"")</f>
      </c>
      <c r="N30" s="1">
        <f>IF(AND(OR(E30=3,E30=0),G30=1),D30,"")</f>
      </c>
      <c r="O30" s="1">
        <f>IF(AND(OR(E30=1,E30=0),G30=2),D30,"")</f>
      </c>
      <c r="P30" s="1">
        <f>IF(AND(OR(E30=2,E30=0),G30=2),D30,"")</f>
      </c>
      <c r="Q30" s="1">
        <f>IF(AND(OR(E30=3,E30=0),G30=2),D30,"")</f>
      </c>
      <c r="R30" s="1">
        <f>IF(AND(OR(E30=1,E30=0),G30=3),D30,"")</f>
      </c>
      <c r="S30" s="1">
        <f>IF(AND(OR(E30=2,E30=0),G30=3),D30,"")</f>
      </c>
      <c r="T30" s="1">
        <f>IF(AND(OR(E30=3,E30=0),G30=3),D30,"")</f>
      </c>
      <c r="U30" s="1">
        <f>IF(AND(OR(E30=1,E30=0),G30=1,F30=1),D30,"")</f>
      </c>
      <c r="V30" s="1">
        <f>IF(AND(OR(E30=1,E30=0),G30=2,F30=1),D30,"")</f>
      </c>
      <c r="W30" s="1">
        <f>IF(AND(OR(E30=1,E30=0),G30=3,F30=1),D30,"")</f>
      </c>
      <c r="X30" s="1">
        <f>IF(AND(OR(E30=2,E30=0),G30=1,F30=1),D30,"")</f>
      </c>
      <c r="Y30" s="1">
        <f>IF(AND(OR(E30=2,E30=0),G30=2,F30=1),D30,"")</f>
      </c>
      <c r="Z30" s="1">
        <f>IF(AND(OR(E30=2,E30=0),G30=3,F30=1),D30,"")</f>
      </c>
      <c r="AA30" s="1">
        <f>IF(AND(OR(E30=3,E30=0),G30=1,F30=1),D30,"")</f>
      </c>
      <c r="AB30" s="1">
        <f>IF(AND(OR(E30=3,E30=0),G30=2,F30=1),D30,"")</f>
      </c>
      <c r="AC30" s="1">
        <f>IF(AND(OR(E30=3,E30=0),G30=3,F30=1),D30,"")</f>
      </c>
      <c r="AD30" s="1">
        <f>IF(AND(OR(E30=1,E30=0),G30=1,F30=0),J30,"")</f>
      </c>
      <c r="AE30" s="1">
        <f>IF(AND(OR(E30=1,E30=0),G30=2,F30=0),J30,"")</f>
      </c>
      <c r="AF30" s="1">
        <f>IF(AND(OR(E30=1,E30=0),G30=3,F30=0),J30,"")</f>
      </c>
      <c r="AG30" s="1">
        <f>IF(AND(OR(E30=1,E30=0),G30=1,F30=1),J30,"")</f>
      </c>
      <c r="AH30" s="1">
        <f>IF(AND(OR(E30=1,E30=0),G30=2,F30=1),J30,"")</f>
      </c>
      <c r="AI30" s="1">
        <f>IF(AND(OR(E30=1,E30=0),G30=3,F30=1),J30,"")</f>
      </c>
      <c r="AJ30" s="1">
        <f>IF(AND(OR(E30=2,E30=0),G30=1,F30=0),J30,"")</f>
      </c>
      <c r="AK30" s="1">
        <f>IF(AND(OR(E30=2,E30=0),G30=2,F30=0),J30,"")</f>
      </c>
      <c r="AL30" s="1">
        <f>IF(AND(OR(E30=2,E30=0),G30=3,F30=0),J30,"")</f>
      </c>
      <c r="AM30" s="1">
        <f>IF(AND(OR(E30=2,E30=0),G30=1,F30=1),J30,"")</f>
      </c>
      <c r="AN30" s="1">
        <f>IF(AND(OR(E30=2,E30=0),G30=2,F30=1),J30,"")</f>
      </c>
      <c r="AO30" s="1">
        <f>IF(AND(OR(E30=2,E30=0),G30=3,F30=1),J30,"")</f>
      </c>
      <c r="AP30" s="1">
        <f>IF(AND(OR(E30=3,E30=0),G30=1,F30=0),J30,"")</f>
      </c>
      <c r="AQ30" s="1">
        <f>IF(AND(OR(E30=3,E30=0),G30=2,F30=0),J30,"")</f>
      </c>
      <c r="AR30" s="1">
        <f>IF(AND(OR(E30=3,E30=0),G30=3,F30=0),J30,"")</f>
      </c>
      <c r="AS30" s="1">
        <f>IF(AND(OR(E30=3,E30=0),G30=1,F30=1),J30,"")</f>
      </c>
      <c r="AT30" s="1">
        <f>IF(AND(OR(E30=3,E30=0),G30=2,F30=1),J30,"")</f>
      </c>
      <c r="AU30" s="1">
        <f>IF(AND(OR(E30=3,E30=0),G30=3,F30=1),J30,"")</f>
      </c>
    </row>
    <row customHeight="true" ht="19" r="31">
      <c r="A31" s="86" t="str">
        <v>さみだれ（公交车站）</v>
      </c>
      <c r="B31" s="86" t="str"/>
      <c r="C31" s="86" t="str"/>
      <c r="D31" s="116">
        <f>持有情况!Z82-ROW()*1e-05</f>
      </c>
      <c r="E31" s="116">
        <v>3</v>
      </c>
      <c r="F31" s="117">
        <v>0</v>
      </c>
      <c r="G31" s="116">
        <v>3</v>
      </c>
      <c r="H31" s="116">
        <v>1</v>
      </c>
      <c r="I31" s="111" t="str">
        <v>公交车站</v>
      </c>
      <c r="J31" s="116">
        <f>IF(路线!C6="计算",INT(路线!B11*(8.5/100)+7*路线!B29+13*路线!B15+40+20)-ROW()*1e-05,INT(路线!B11*(8.5/100)+7*路线!B29+13*路线!B15+40)-ROW()*1e-05)</f>
      </c>
      <c r="L31" s="1">
        <f>IF(AND(OR(E31=1,E31=0),G31=1),D31,"")</f>
      </c>
      <c r="M31" s="1">
        <f>IF(AND(OR(E31=2,E31=0),G31=1),D31,"")</f>
      </c>
      <c r="N31" s="1">
        <f>IF(AND(OR(E31=3,E31=0),G31=1),D31,"")</f>
      </c>
      <c r="O31" s="1">
        <f>IF(AND(OR(E31=1,E31=0),G31=2),D31,"")</f>
      </c>
      <c r="P31" s="1">
        <f>IF(AND(OR(E31=2,E31=0),G31=2),D31,"")</f>
      </c>
      <c r="Q31" s="1">
        <f>IF(AND(OR(E31=3,E31=0),G31=2),D31,"")</f>
      </c>
      <c r="R31" s="1">
        <f>IF(AND(OR(E31=1,E31=0),G31=3),D31,"")</f>
      </c>
      <c r="S31" s="1">
        <f>IF(AND(OR(E31=2,E31=0),G31=3),D31,"")</f>
      </c>
      <c r="T31" s="1">
        <f>IF(AND(OR(E31=3,E31=0),G31=3),D31,"")</f>
      </c>
      <c r="U31" s="1">
        <f>IF(AND(OR(E31=1,E31=0),G31=1,F31=1),D31,"")</f>
      </c>
      <c r="V31" s="1">
        <f>IF(AND(OR(E31=1,E31=0),G31=2,F31=1),D31,"")</f>
      </c>
      <c r="W31" s="1">
        <f>IF(AND(OR(E31=1,E31=0),G31=3,F31=1),D31,"")</f>
      </c>
      <c r="X31" s="1">
        <f>IF(AND(OR(E31=2,E31=0),G31=1,F31=1),D31,"")</f>
      </c>
      <c r="Y31" s="1">
        <f>IF(AND(OR(E31=2,E31=0),G31=2,F31=1),D31,"")</f>
      </c>
      <c r="Z31" s="1">
        <f>IF(AND(OR(E31=2,E31=0),G31=3,F31=1),D31,"")</f>
      </c>
      <c r="AA31" s="1">
        <f>IF(AND(OR(E31=3,E31=0),G31=1,F31=1),D31,"")</f>
      </c>
      <c r="AB31" s="1">
        <f>IF(AND(OR(E31=3,E31=0),G31=2,F31=1),D31,"")</f>
      </c>
      <c r="AC31" s="1">
        <f>IF(AND(OR(E31=3,E31=0),G31=3,F31=1),D31,"")</f>
      </c>
      <c r="AD31" s="1">
        <f>IF(AND(OR(E31=1,E31=0),G31=1,F31=0),J31,"")</f>
      </c>
      <c r="AE31" s="1">
        <f>IF(AND(OR(E31=1,E31=0),G31=2,F31=0),J31,"")</f>
      </c>
      <c r="AF31" s="1">
        <f>IF(AND(OR(E31=1,E31=0),G31=3,F31=0),J31,"")</f>
      </c>
      <c r="AG31" s="1">
        <f>IF(AND(OR(E31=1,E31=0),G31=1,F31=1),J31,"")</f>
      </c>
      <c r="AH31" s="1">
        <f>IF(AND(OR(E31=1,E31=0),G31=2,F31=1),J31,"")</f>
      </c>
      <c r="AI31" s="1">
        <f>IF(AND(OR(E31=1,E31=0),G31=3,F31=1),J31,"")</f>
      </c>
      <c r="AJ31" s="1">
        <f>IF(AND(OR(E31=2,E31=0),G31=1,F31=0),J31,"")</f>
      </c>
      <c r="AK31" s="1">
        <f>IF(AND(OR(E31=2,E31=0),G31=2,F31=0),J31,"")</f>
      </c>
      <c r="AL31" s="1">
        <f>IF(AND(OR(E31=2,E31=0),G31=3,F31=0),J31,"")</f>
      </c>
      <c r="AM31" s="1">
        <f>IF(AND(OR(E31=2,E31=0),G31=1,F31=1),J31,"")</f>
      </c>
      <c r="AN31" s="1">
        <f>IF(AND(OR(E31=2,E31=0),G31=2,F31=1),J31,"")</f>
      </c>
      <c r="AO31" s="1">
        <f>IF(AND(OR(E31=2,E31=0),G31=3,F31=1),J31,"")</f>
      </c>
      <c r="AP31" s="1">
        <f>IF(AND(OR(E31=3,E31=0),G31=1,F31=0),J31,"")</f>
      </c>
      <c r="AQ31" s="1">
        <f>IF(AND(OR(E31=3,E31=0),G31=2,F31=0),J31,"")</f>
      </c>
      <c r="AR31" s="1">
        <f>IF(AND(OR(E31=3,E31=0),G31=3,F31=0),J31,"")</f>
      </c>
      <c r="AS31" s="1">
        <f>IF(AND(OR(E31=3,E31=0),G31=1,F31=1),J31,"")</f>
      </c>
      <c r="AT31" s="1">
        <f>IF(AND(OR(E31=3,E31=0),G31=2,F31=1),J31,"")</f>
      </c>
      <c r="AU31" s="1">
        <f>IF(AND(OR(E31=3,E31=0),G31=3,F31=1),J31,"")</f>
      </c>
    </row>
    <row customHeight="true" ht="19" r="32">
      <c r="A32" s="75" t="str">
        <v>夏を楽しみましょう！（红购物）</v>
      </c>
      <c r="B32" s="75" t="str"/>
      <c r="C32" s="75" t="str"/>
      <c r="D32" s="116">
        <f>持有情况!F52-ROW()*1e-05</f>
      </c>
      <c r="E32" s="116">
        <v>1</v>
      </c>
      <c r="F32" s="117">
        <v>0</v>
      </c>
      <c r="G32" s="116">
        <v>1</v>
      </c>
      <c r="H32" s="116">
        <v>1</v>
      </c>
      <c r="I32" s="111" t="str">
        <v>红购物</v>
      </c>
      <c r="J32" s="116">
        <f>INT((8.5/100)*路线!B11+17*路线!B15+11*路线!B39+40)-ROW()*1e-05</f>
      </c>
      <c r="L32" s="1">
        <f>IF(AND(OR(E32=1,E32=0),G32=1),D32,"")</f>
      </c>
      <c r="M32" s="1">
        <f>IF(AND(OR(E32=2,E32=0),G32=1),D32,"")</f>
      </c>
      <c r="N32" s="1">
        <f>IF(AND(OR(E32=3,E32=0),G32=1),D32,"")</f>
      </c>
      <c r="O32" s="1">
        <f>IF(AND(OR(E32=1,E32=0),G32=2),D32,"")</f>
      </c>
      <c r="P32" s="1">
        <f>IF(AND(OR(E32=2,E32=0),G32=2),D32,"")</f>
      </c>
      <c r="Q32" s="1">
        <f>IF(AND(OR(E32=3,E32=0),G32=2),D32,"")</f>
      </c>
      <c r="R32" s="1">
        <f>IF(AND(OR(E32=1,E32=0),G32=3),D32,"")</f>
      </c>
      <c r="S32" s="1">
        <f>IF(AND(OR(E32=2,E32=0),G32=3),D32,"")</f>
      </c>
      <c r="T32" s="1">
        <f>IF(AND(OR(E32=3,E32=0),G32=3),D32,"")</f>
      </c>
      <c r="U32" s="1">
        <f>IF(AND(OR(E32=1,E32=0),G32=1,F32=1),D32,"")</f>
      </c>
      <c r="V32" s="1">
        <f>IF(AND(OR(E32=1,E32=0),G32=2,F32=1),D32,"")</f>
      </c>
      <c r="W32" s="1">
        <f>IF(AND(OR(E32=1,E32=0),G32=3,F32=1),D32,"")</f>
      </c>
      <c r="X32" s="1">
        <f>IF(AND(OR(E32=2,E32=0),G32=1,F32=1),D32,"")</f>
      </c>
      <c r="Y32" s="1">
        <f>IF(AND(OR(E32=2,E32=0),G32=2,F32=1),D32,"")</f>
      </c>
      <c r="Z32" s="1">
        <f>IF(AND(OR(E32=2,E32=0),G32=3,F32=1),D32,"")</f>
      </c>
      <c r="AA32" s="1">
        <f>IF(AND(OR(E32=3,E32=0),G32=1,F32=1),D32,"")</f>
      </c>
      <c r="AB32" s="1">
        <f>IF(AND(OR(E32=3,E32=0),G32=2,F32=1),D32,"")</f>
      </c>
      <c r="AC32" s="1">
        <f>IF(AND(OR(E32=3,E32=0),G32=3,F32=1),D32,"")</f>
      </c>
      <c r="AD32" s="1">
        <f>IF(AND(OR(E32=1,E32=0),G32=1,F32=0),J32,"")</f>
      </c>
      <c r="AE32" s="1">
        <f>IF(AND(OR(E32=1,E32=0),G32=2,F32=0),J32,"")</f>
      </c>
      <c r="AF32" s="1">
        <f>IF(AND(OR(E32=1,E32=0),G32=3,F32=0),J32,"")</f>
      </c>
      <c r="AG32" s="1">
        <f>IF(AND(OR(E32=1,E32=0),G32=1,F32=1),J32,"")</f>
      </c>
      <c r="AH32" s="1">
        <f>IF(AND(OR(E32=1,E32=0),G32=2,F32=1),J32,"")</f>
      </c>
      <c r="AI32" s="1">
        <f>IF(AND(OR(E32=1,E32=0),G32=3,F32=1),J32,"")</f>
      </c>
      <c r="AJ32" s="1">
        <f>IF(AND(OR(E32=2,E32=0),G32=1,F32=0),J32,"")</f>
      </c>
      <c r="AK32" s="1">
        <f>IF(AND(OR(E32=2,E32=0),G32=2,F32=0),J32,"")</f>
      </c>
      <c r="AL32" s="1">
        <f>IF(AND(OR(E32=2,E32=0),G32=3,F32=0),J32,"")</f>
      </c>
      <c r="AM32" s="1">
        <f>IF(AND(OR(E32=2,E32=0),G32=1,F32=1),J32,"")</f>
      </c>
      <c r="AN32" s="1">
        <f>IF(AND(OR(E32=2,E32=0),G32=2,F32=1),J32,"")</f>
      </c>
      <c r="AO32" s="1">
        <f>IF(AND(OR(E32=2,E32=0),G32=3,F32=1),J32,"")</f>
      </c>
      <c r="AP32" s="1">
        <f>IF(AND(OR(E32=3,E32=0),G32=1,F32=0),J32,"")</f>
      </c>
      <c r="AQ32" s="1">
        <f>IF(AND(OR(E32=3,E32=0),G32=2,F32=0),J32,"")</f>
      </c>
      <c r="AR32" s="1">
        <f>IF(AND(OR(E32=3,E32=0),G32=3,F32=0),J32,"")</f>
      </c>
      <c r="AS32" s="1">
        <f>IF(AND(OR(E32=3,E32=0),G32=1,F32=1),J32,"")</f>
      </c>
      <c r="AT32" s="1">
        <f>IF(AND(OR(E32=3,E32=0),G32=2,F32=1),J32,"")</f>
      </c>
      <c r="AU32" s="1">
        <f>IF(AND(OR(E32=3,E32=0),G32=3,F32=1),J32,"")</f>
      </c>
    </row>
    <row customHeight="true" ht="19" r="33">
      <c r="A33" s="99" t="str">
        <v>もうっ！　冷たいよ！（蓝喷水）</v>
      </c>
      <c r="B33" s="99" t="str"/>
      <c r="C33" s="99" t="str"/>
      <c r="D33" s="116">
        <f>持有情况!P40-ROW()*1e-05</f>
      </c>
      <c r="E33" s="116">
        <v>2</v>
      </c>
      <c r="F33" s="116">
        <v>1</v>
      </c>
      <c r="G33" s="116">
        <v>2</v>
      </c>
      <c r="H33" s="116">
        <v>1</v>
      </c>
      <c r="I33" s="111" t="str">
        <v>蓝喷水</v>
      </c>
      <c r="J33" s="116">
        <f>INT(60+17*路线!B15+22+40)-ROW()*1e-05</f>
      </c>
      <c r="L33" s="1">
        <f>IF(AND(OR(E33=1,E33=0),G33=1),D33,"")</f>
      </c>
      <c r="M33" s="1">
        <f>IF(AND(OR(E33=2,E33=0),G33=1),D33,"")</f>
      </c>
      <c r="N33" s="1">
        <f>IF(AND(OR(E33=3,E33=0),G33=1),D33,"")</f>
      </c>
      <c r="O33" s="1">
        <f>IF(AND(OR(E33=1,E33=0),G33=2),D33,"")</f>
      </c>
      <c r="P33" s="1">
        <f>IF(AND(OR(E33=2,E33=0),G33=2),D33,"")</f>
      </c>
      <c r="Q33" s="1">
        <f>IF(AND(OR(E33=3,E33=0),G33=2),D33,"")</f>
      </c>
      <c r="R33" s="1">
        <f>IF(AND(OR(E33=1,E33=0),G33=3),D33,"")</f>
      </c>
      <c r="S33" s="1">
        <f>IF(AND(OR(E33=2,E33=0),G33=3),D33,"")</f>
      </c>
      <c r="T33" s="1">
        <f>IF(AND(OR(E33=3,E33=0),G33=3),D33,"")</f>
      </c>
      <c r="U33" s="1">
        <f>IF(AND(OR(E33=1,E33=0),G33=1,F33=1),D33,"")</f>
      </c>
      <c r="V33" s="1">
        <f>IF(AND(OR(E33=1,E33=0),G33=2,F33=1),D33,"")</f>
      </c>
      <c r="W33" s="1">
        <f>IF(AND(OR(E33=1,E33=0),G33=3,F33=1),D33,"")</f>
      </c>
      <c r="X33" s="1">
        <f>IF(AND(OR(E33=2,E33=0),G33=1,F33=1),D33,"")</f>
      </c>
      <c r="Y33" s="1">
        <f>IF(AND(OR(E33=2,E33=0),G33=2,F33=1),D33,"")</f>
      </c>
      <c r="Z33" s="1">
        <f>IF(AND(OR(E33=2,E33=0),G33=3,F33=1),D33,"")</f>
      </c>
      <c r="AA33" s="1">
        <f>IF(AND(OR(E33=3,E33=0),G33=1,F33=1),D33,"")</f>
      </c>
      <c r="AB33" s="1">
        <f>IF(AND(OR(E33=3,E33=0),G33=2,F33=1),D33,"")</f>
      </c>
      <c r="AC33" s="1">
        <f>IF(AND(OR(E33=3,E33=0),G33=3,F33=1),D33,"")</f>
      </c>
      <c r="AD33" s="1">
        <f>IF(AND(OR(E33=1,E33=0),G33=1,F33=0),J33,"")</f>
      </c>
      <c r="AE33" s="1">
        <f>IF(AND(OR(E33=1,E33=0),G33=2,F33=0),J33,"")</f>
      </c>
      <c r="AF33" s="1">
        <f>IF(AND(OR(E33=1,E33=0),G33=3,F33=0),J33,"")</f>
      </c>
      <c r="AG33" s="1">
        <f>IF(AND(OR(E33=1,E33=0),G33=1,F33=1),J33,"")</f>
      </c>
      <c r="AH33" s="1">
        <f>IF(AND(OR(E33=1,E33=0),G33=2,F33=1),J33,"")</f>
      </c>
      <c r="AI33" s="1">
        <f>IF(AND(OR(E33=1,E33=0),G33=3,F33=1),J33,"")</f>
      </c>
      <c r="AJ33" s="1">
        <f>IF(AND(OR(E33=2,E33=0),G33=1,F33=0),J33,"")</f>
      </c>
      <c r="AK33" s="1">
        <f>IF(AND(OR(E33=2,E33=0),G33=2,F33=0),J33,"")</f>
      </c>
      <c r="AL33" s="1">
        <f>IF(AND(OR(E33=2,E33=0),G33=3,F33=0),J33,"")</f>
      </c>
      <c r="AM33" s="1">
        <f>IF(AND(OR(E33=2,E33=0),G33=1,F33=1),J33,"")</f>
      </c>
      <c r="AN33" s="1">
        <f>IF(AND(OR(E33=2,E33=0),G33=2,F33=1),J33,"")</f>
      </c>
      <c r="AO33" s="1">
        <f>IF(AND(OR(E33=2,E33=0),G33=3,F33=1),J33,"")</f>
      </c>
      <c r="AP33" s="1">
        <f>IF(AND(OR(E33=3,E33=0),G33=1,F33=0),J33,"")</f>
      </c>
      <c r="AQ33" s="1">
        <f>IF(AND(OR(E33=3,E33=0),G33=2,F33=0),J33,"")</f>
      </c>
      <c r="AR33" s="1">
        <f>IF(AND(OR(E33=3,E33=0),G33=3,F33=0),J33,"")</f>
      </c>
      <c r="AS33" s="1">
        <f>IF(AND(OR(E33=3,E33=0),G33=1,F33=1),J33,"")</f>
      </c>
      <c r="AT33" s="1">
        <f>IF(AND(OR(E33=3,E33=0),G33=2,F33=1),J33,"")</f>
      </c>
      <c r="AU33" s="1">
        <f>IF(AND(OR(E33=3,E33=0),G33=3,F33=1),J33,"")</f>
      </c>
    </row>
    <row customHeight="true" ht="19" r="34">
      <c r="A34" s="99" t="str">
        <v>おいしい顔、いただき～！（蓝拍照）</v>
      </c>
      <c r="B34" s="99" t="str"/>
      <c r="C34" s="99" t="str"/>
      <c r="D34" s="116">
        <f>持有情况!P22-ROW()*1e-05</f>
      </c>
      <c r="E34" s="117">
        <v>0</v>
      </c>
      <c r="F34" s="116">
        <v>1</v>
      </c>
      <c r="G34" s="116">
        <v>2</v>
      </c>
      <c r="H34" s="116">
        <v>1</v>
      </c>
      <c r="I34" s="111" t="str">
        <v>蓝拍照</v>
      </c>
      <c r="J34" s="116">
        <f>IF(路线!C6="计算",INT(60+17*路线!B15+4*(路线!B28+路线!B29)+40+20)-ROW()*1e-05,INT(60+17*路线!B15+4*(路线!B28+路线!B29)+40)-ROW()*1e-05)</f>
      </c>
      <c r="L34" s="1">
        <f>IF(AND(OR(E34=1,E34=0),G34=1),D34,"")</f>
      </c>
      <c r="M34" s="1">
        <f>IF(AND(OR(E34=2,E34=0),G34=1),D34,"")</f>
      </c>
      <c r="N34" s="1">
        <f>IF(AND(OR(E34=3,E34=0),G34=1),D34,"")</f>
      </c>
      <c r="O34" s="1">
        <f>IF(AND(OR(E34=1,E34=0),G34=2),D34,"")</f>
      </c>
      <c r="P34" s="1">
        <f>IF(AND(OR(E34=2,E34=0),G34=2),D34,"")</f>
      </c>
      <c r="Q34" s="1">
        <f>IF(AND(OR(E34=3,E34=0),G34=2),D34,"")</f>
      </c>
      <c r="R34" s="1">
        <f>IF(AND(OR(E34=1,E34=0),G34=3),D34,"")</f>
      </c>
      <c r="S34" s="1">
        <f>IF(AND(OR(E34=2,E34=0),G34=3),D34,"")</f>
      </c>
      <c r="T34" s="1">
        <f>IF(AND(OR(E34=3,E34=0),G34=3),D34,"")</f>
      </c>
      <c r="U34" s="1">
        <f>IF(AND(OR(E34=1,E34=0),G34=1,F34=1),D34,"")</f>
      </c>
      <c r="V34" s="1">
        <f>IF(AND(OR(E34=1,E34=0),G34=2,F34=1),D34,"")</f>
      </c>
      <c r="W34" s="1">
        <f>IF(AND(OR(E34=1,E34=0),G34=3,F34=1),D34,"")</f>
      </c>
      <c r="X34" s="1">
        <f>IF(AND(OR(E34=2,E34=0),G34=1,F34=1),D34,"")</f>
      </c>
      <c r="Y34" s="1">
        <f>IF(AND(OR(E34=2,E34=0),G34=2,F34=1),D34,"")</f>
      </c>
      <c r="Z34" s="1">
        <f>IF(AND(OR(E34=2,E34=0),G34=3,F34=1),D34,"")</f>
      </c>
      <c r="AA34" s="1">
        <f>IF(AND(OR(E34=3,E34=0),G34=1,F34=1),D34,"")</f>
      </c>
      <c r="AB34" s="1">
        <f>IF(AND(OR(E34=3,E34=0),G34=2,F34=1),D34,"")</f>
      </c>
      <c r="AC34" s="1">
        <f>IF(AND(OR(E34=3,E34=0),G34=3,F34=1),D34,"")</f>
      </c>
      <c r="AD34" s="1">
        <f>IF(AND(OR(E34=1,E34=0),G34=1,F34=0),J34,"")</f>
      </c>
      <c r="AE34" s="1">
        <f>IF(AND(OR(E34=1,E34=0),G34=2,F34=0),J34,"")</f>
      </c>
      <c r="AF34" s="1">
        <f>IF(AND(OR(E34=1,E34=0),G34=3,F34=0),J34,"")</f>
      </c>
      <c r="AG34" s="1">
        <f>IF(AND(OR(E34=1,E34=0),G34=1,F34=1),J34,"")</f>
      </c>
      <c r="AH34" s="1">
        <f>IF(AND(OR(E34=1,E34=0),G34=2,F34=1),J34,"")</f>
      </c>
      <c r="AI34" s="1">
        <f>IF(AND(OR(E34=1,E34=0),G34=3,F34=1),J34,"")</f>
      </c>
      <c r="AJ34" s="1">
        <f>IF(AND(OR(E34=2,E34=0),G34=1,F34=0),J34,"")</f>
      </c>
      <c r="AK34" s="1">
        <f>IF(AND(OR(E34=2,E34=0),G34=2,F34=0),J34,"")</f>
      </c>
      <c r="AL34" s="1">
        <f>IF(AND(OR(E34=2,E34=0),G34=3,F34=0),J34,"")</f>
      </c>
      <c r="AM34" s="1">
        <f>IF(AND(OR(E34=2,E34=0),G34=1,F34=1),J34,"")</f>
      </c>
      <c r="AN34" s="1">
        <f>IF(AND(OR(E34=2,E34=0),G34=2,F34=1),J34,"")</f>
      </c>
      <c r="AO34" s="1">
        <f>IF(AND(OR(E34=2,E34=0),G34=3,F34=1),J34,"")</f>
      </c>
      <c r="AP34" s="1">
        <f>IF(AND(OR(E34=3,E34=0),G34=1,F34=0),J34,"")</f>
      </c>
      <c r="AQ34" s="1">
        <f>IF(AND(OR(E34=3,E34=0),G34=2,F34=0),J34,"")</f>
      </c>
      <c r="AR34" s="1">
        <f>IF(AND(OR(E34=3,E34=0),G34=3,F34=0),J34,"")</f>
      </c>
      <c r="AS34" s="1">
        <f>IF(AND(OR(E34=3,E34=0),G34=1,F34=1),J34,"")</f>
      </c>
      <c r="AT34" s="1">
        <f>IF(AND(OR(E34=3,E34=0),G34=2,F34=1),J34,"")</f>
      </c>
      <c r="AU34" s="1">
        <f>IF(AND(OR(E34=3,E34=0),G34=3,F34=1),J34,"")</f>
      </c>
    </row>
    <row customHeight="true" ht="19" r="35">
      <c r="A35" s="75" t="str">
        <v>愛無き暗記は難しい（永年）</v>
      </c>
      <c r="B35" s="75" t="str"/>
      <c r="C35" s="75" t="str"/>
      <c r="D35" s="116">
        <f>IF(路线!B4="计算",持有情况!AM16,持有情况!AJ16)-ROW()*1e-05</f>
      </c>
      <c r="E35" s="117">
        <v>0</v>
      </c>
      <c r="F35" s="117">
        <v>0</v>
      </c>
      <c r="G35" s="116">
        <v>1</v>
      </c>
      <c r="H35" s="117">
        <v>0</v>
      </c>
      <c r="I35" s="1" t="str"/>
      <c r="J35" s="116">
        <f>IF(路线!B4="计算",INT(45+5*路线!B30+13*路线!B16+30+持有情况!AM15),INT(45+5*路线!B30+13*路线!B16+30))-ROW()*1e-05</f>
      </c>
      <c r="L35" s="1">
        <f>IF(AND(OR(E35=1,E35=0),G35=1),D35,"")</f>
      </c>
      <c r="M35" s="1">
        <f>IF(AND(OR(E35=2,E35=0),G35=1),D35,"")</f>
      </c>
      <c r="N35" s="1">
        <f>IF(AND(OR(E35=3,E35=0),G35=1),D35,"")</f>
      </c>
      <c r="O35" s="1">
        <f>IF(AND(OR(E35=1,E35=0),G35=2),D35,"")</f>
      </c>
      <c r="P35" s="1">
        <f>IF(AND(OR(E35=2,E35=0),G35=2),D35,"")</f>
      </c>
      <c r="Q35" s="1">
        <f>IF(AND(OR(E35=3,E35=0),G35=2),D35,"")</f>
      </c>
      <c r="R35" s="1">
        <f>IF(AND(OR(E35=1,E35=0),G35=3),D35,"")</f>
      </c>
      <c r="S35" s="1">
        <f>IF(AND(OR(E35=2,E35=0),G35=3),D35,"")</f>
      </c>
      <c r="T35" s="1">
        <f>IF(AND(OR(E35=3,E35=0),G35=3),D35,"")</f>
      </c>
      <c r="U35" s="1">
        <f>IF(AND(OR(E35=1,E35=0),G35=1,F35=1),D35,"")</f>
      </c>
      <c r="V35" s="1">
        <f>IF(AND(OR(E35=1,E35=0),G35=2,F35=1),D35,"")</f>
      </c>
      <c r="W35" s="1">
        <f>IF(AND(OR(E35=1,E35=0),G35=3,F35=1),D35,"")</f>
      </c>
      <c r="X35" s="1">
        <f>IF(AND(OR(E35=2,E35=0),G35=1,F35=1),D35,"")</f>
      </c>
      <c r="Y35" s="1">
        <f>IF(AND(OR(E35=2,E35=0),G35=2,F35=1),D35,"")</f>
      </c>
      <c r="Z35" s="1">
        <f>IF(AND(OR(E35=2,E35=0),G35=3,F35=1),D35,"")</f>
      </c>
      <c r="AA35" s="1">
        <f>IF(AND(OR(E35=3,E35=0),G35=1,F35=1),D35,"")</f>
      </c>
      <c r="AB35" s="1">
        <f>IF(AND(OR(E35=3,E35=0),G35=2,F35=1),D35,"")</f>
      </c>
      <c r="AC35" s="1">
        <f>IF(AND(OR(E35=3,E35=0),G35=3,F35=1),D35,"")</f>
      </c>
      <c r="AD35" s="1">
        <f>IF(AND(OR(E35=1,E35=0),G35=1,F35=0),J35,"")</f>
      </c>
      <c r="AE35" s="1">
        <f>IF(AND(OR(E35=1,E35=0),G35=2,F35=0),J35,"")</f>
      </c>
      <c r="AF35" s="1">
        <f>IF(AND(OR(E35=1,E35=0),G35=3,F35=0),J35,"")</f>
      </c>
      <c r="AG35" s="1">
        <f>IF(AND(OR(E35=1,E35=0),G35=1,F35=1),J35,"")</f>
      </c>
      <c r="AH35" s="1">
        <f>IF(AND(OR(E35=1,E35=0),G35=2,F35=1),J35,"")</f>
      </c>
      <c r="AI35" s="1">
        <f>IF(AND(OR(E35=1,E35=0),G35=3,F35=1),J35,"")</f>
      </c>
      <c r="AJ35" s="1">
        <f>IF(AND(OR(E35=2,E35=0),G35=1,F35=0),J35,"")</f>
      </c>
      <c r="AK35" s="1">
        <f>IF(AND(OR(E35=2,E35=0),G35=2,F35=0),J35,"")</f>
      </c>
      <c r="AL35" s="1">
        <f>IF(AND(OR(E35=2,E35=0),G35=3,F35=0),J35,"")</f>
      </c>
      <c r="AM35" s="1">
        <f>IF(AND(OR(E35=2,E35=0),G35=1,F35=1),J35,"")</f>
      </c>
      <c r="AN35" s="1">
        <f>IF(AND(OR(E35=2,E35=0),G35=2,F35=1),J35,"")</f>
      </c>
      <c r="AO35" s="1">
        <f>IF(AND(OR(E35=2,E35=0),G35=3,F35=1),J35,"")</f>
      </c>
      <c r="AP35" s="1">
        <f>IF(AND(OR(E35=3,E35=0),G35=1,F35=0),J35,"")</f>
      </c>
      <c r="AQ35" s="1">
        <f>IF(AND(OR(E35=3,E35=0),G35=2,F35=0),J35,"")</f>
      </c>
      <c r="AR35" s="1">
        <f>IF(AND(OR(E35=3,E35=0),G35=3,F35=0),J35,"")</f>
      </c>
      <c r="AS35" s="1">
        <f>IF(AND(OR(E35=3,E35=0),G35=1,F35=1),J35,"")</f>
      </c>
      <c r="AT35" s="1">
        <f>IF(AND(OR(E35=3,E35=0),G35=2,F35=1),J35,"")</f>
      </c>
      <c r="AU35" s="1">
        <f>IF(AND(OR(E35=3,E35=0),G35=3,F35=1),J35,"")</f>
      </c>
    </row>
    <row customHeight="true" ht="19" r="36">
      <c r="A36" s="99" t="str">
        <v>嬉し恥ずかし夢心地（姐姐百科）</v>
      </c>
      <c r="B36" s="99" t="str"/>
      <c r="C36" s="99" t="str"/>
      <c r="D36" s="116">
        <f>IF(路线!B4="计算",持有情况!AW10,持有情况!AT10)-ROW()*1e-05</f>
      </c>
      <c r="E36" s="117">
        <v>0</v>
      </c>
      <c r="F36" s="117">
        <v>0</v>
      </c>
      <c r="G36" s="116">
        <v>2</v>
      </c>
      <c r="H36" s="117">
        <v>0</v>
      </c>
      <c r="I36" s="1" t="str"/>
      <c r="J36" s="116">
        <f>IF(路线!B4="计算",INT(45+5*路线!B30+13*路线!B16+30+持有情况!AM15),INT(45+5*路线!B30+13*路线!B16+30))-ROW()*1e-05</f>
      </c>
      <c r="L36" s="1">
        <f>IF(AND(OR(E36=1,E36=0),G36=1),D36,"")</f>
      </c>
      <c r="M36" s="1">
        <f>IF(AND(OR(E36=2,E36=0),G36=1),D36,"")</f>
      </c>
      <c r="N36" s="1">
        <f>IF(AND(OR(E36=3,E36=0),G36=1),D36,"")</f>
      </c>
      <c r="O36" s="1">
        <f>IF(AND(OR(E36=1,E36=0),G36=2),D36,"")</f>
      </c>
      <c r="P36" s="1">
        <f>IF(AND(OR(E36=2,E36=0),G36=2),D36,"")</f>
      </c>
      <c r="Q36" s="1">
        <f>IF(AND(OR(E36=3,E36=0),G36=2),D36,"")</f>
      </c>
      <c r="R36" s="1">
        <f>IF(AND(OR(E36=1,E36=0),G36=3),D36,"")</f>
      </c>
      <c r="S36" s="1">
        <f>IF(AND(OR(E36=2,E36=0),G36=3),D36,"")</f>
      </c>
      <c r="T36" s="1">
        <f>IF(AND(OR(E36=3,E36=0),G36=3),D36,"")</f>
      </c>
      <c r="U36" s="1">
        <f>IF(AND(OR(E36=1,E36=0),G36=1,F36=1),D36,"")</f>
      </c>
      <c r="V36" s="1">
        <f>IF(AND(OR(E36=1,E36=0),G36=2,F36=1),D36,"")</f>
      </c>
      <c r="W36" s="1">
        <f>IF(AND(OR(E36=1,E36=0),G36=3,F36=1),D36,"")</f>
      </c>
      <c r="X36" s="1">
        <f>IF(AND(OR(E36=2,E36=0),G36=1,F36=1),D36,"")</f>
      </c>
      <c r="Y36" s="1">
        <f>IF(AND(OR(E36=2,E36=0),G36=2,F36=1),D36,"")</f>
      </c>
      <c r="Z36" s="1">
        <f>IF(AND(OR(E36=2,E36=0),G36=3,F36=1),D36,"")</f>
      </c>
      <c r="AA36" s="1">
        <f>IF(AND(OR(E36=3,E36=0),G36=1,F36=1),D36,"")</f>
      </c>
      <c r="AB36" s="1">
        <f>IF(AND(OR(E36=3,E36=0),G36=2,F36=1),D36,"")</f>
      </c>
      <c r="AC36" s="1">
        <f>IF(AND(OR(E36=3,E36=0),G36=3,F36=1),D36,"")</f>
      </c>
      <c r="AD36" s="1">
        <f>IF(AND(OR(E36=1,E36=0),G36=1,F36=0),J36,"")</f>
      </c>
      <c r="AE36" s="1">
        <f>IF(AND(OR(E36=1,E36=0),G36=2,F36=0),J36,"")</f>
      </c>
      <c r="AF36" s="1">
        <f>IF(AND(OR(E36=1,E36=0),G36=3,F36=0),J36,"")</f>
      </c>
      <c r="AG36" s="1">
        <f>IF(AND(OR(E36=1,E36=0),G36=1,F36=1),J36,"")</f>
      </c>
      <c r="AH36" s="1">
        <f>IF(AND(OR(E36=1,E36=0),G36=2,F36=1),J36,"")</f>
      </c>
      <c r="AI36" s="1">
        <f>IF(AND(OR(E36=1,E36=0),G36=3,F36=1),J36,"")</f>
      </c>
      <c r="AJ36" s="1">
        <f>IF(AND(OR(E36=2,E36=0),G36=1,F36=0),J36,"")</f>
      </c>
      <c r="AK36" s="1">
        <f>IF(AND(OR(E36=2,E36=0),G36=2,F36=0),J36,"")</f>
      </c>
      <c r="AL36" s="1">
        <f>IF(AND(OR(E36=2,E36=0),G36=3,F36=0),J36,"")</f>
      </c>
      <c r="AM36" s="1">
        <f>IF(AND(OR(E36=2,E36=0),G36=1,F36=1),J36,"")</f>
      </c>
      <c r="AN36" s="1">
        <f>IF(AND(OR(E36=2,E36=0),G36=2,F36=1),J36,"")</f>
      </c>
      <c r="AO36" s="1">
        <f>IF(AND(OR(E36=2,E36=0),G36=3,F36=1),J36,"")</f>
      </c>
      <c r="AP36" s="1">
        <f>IF(AND(OR(E36=3,E36=0),G36=1,F36=0),J36,"")</f>
      </c>
      <c r="AQ36" s="1">
        <f>IF(AND(OR(E36=3,E36=0),G36=2,F36=0),J36,"")</f>
      </c>
      <c r="AR36" s="1">
        <f>IF(AND(OR(E36=3,E36=0),G36=3,F36=0),J36,"")</f>
      </c>
      <c r="AS36" s="1">
        <f>IF(AND(OR(E36=3,E36=0),G36=1,F36=1),J36,"")</f>
      </c>
      <c r="AT36" s="1">
        <f>IF(AND(OR(E36=3,E36=0),G36=2,F36=1),J36,"")</f>
      </c>
      <c r="AU36" s="1">
        <f>IF(AND(OR(E36=3,E36=0),G36=3,F36=1),J36,"")</f>
      </c>
    </row>
    <row customHeight="true" ht="19" r="37">
      <c r="A37" s="75" t="str">
        <v>はいっ、みんなも一緒に♪（fes3）</v>
      </c>
      <c r="B37" s="75" t="str"/>
      <c r="C37" s="75" t="str"/>
      <c r="D37" s="116">
        <f>持有情况!F82-ROW()*1e-05</f>
      </c>
      <c r="E37" s="116">
        <v>3</v>
      </c>
      <c r="F37" s="116">
        <v>1</v>
      </c>
      <c r="G37" s="116">
        <v>1</v>
      </c>
      <c r="H37" s="117">
        <v>0</v>
      </c>
      <c r="I37" s="1" t="str"/>
      <c r="J37" s="116">
        <f>INT((8.5/100)*路线!B11+15*路线!B31+40)-ROW()*1e-05</f>
      </c>
      <c r="L37" s="1">
        <f>IF(AND(OR(E37=1,E37=0),G37=1),D37,"")</f>
      </c>
      <c r="M37" s="1">
        <f>IF(AND(OR(E37=2,E37=0),G37=1),D37,"")</f>
      </c>
      <c r="N37" s="1">
        <f>IF(AND(OR(E37=3,E37=0),G37=1),D37,"")</f>
      </c>
      <c r="O37" s="1">
        <f>IF(AND(OR(E37=1,E37=0),G37=2),D37,"")</f>
      </c>
      <c r="P37" s="1">
        <f>IF(AND(OR(E37=2,E37=0),G37=2),D37,"")</f>
      </c>
      <c r="Q37" s="1">
        <f>IF(AND(OR(E37=3,E37=0),G37=2),D37,"")</f>
      </c>
      <c r="R37" s="1">
        <f>IF(AND(OR(E37=1,E37=0),G37=3),D37,"")</f>
      </c>
      <c r="S37" s="1">
        <f>IF(AND(OR(E37=2,E37=0),G37=3),D37,"")</f>
      </c>
      <c r="T37" s="1">
        <f>IF(AND(OR(E37=3,E37=0),G37=3),D37,"")</f>
      </c>
      <c r="U37" s="1">
        <f>IF(AND(OR(E37=1,E37=0),G37=1,F37=1),D37,"")</f>
      </c>
      <c r="V37" s="1">
        <f>IF(AND(OR(E37=1,E37=0),G37=2,F37=1),D37,"")</f>
      </c>
      <c r="W37" s="1">
        <f>IF(AND(OR(E37=1,E37=0),G37=3,F37=1),D37,"")</f>
      </c>
      <c r="X37" s="1">
        <f>IF(AND(OR(E37=2,E37=0),G37=1,F37=1),D37,"")</f>
      </c>
      <c r="Y37" s="1">
        <f>IF(AND(OR(E37=2,E37=0),G37=2,F37=1),D37,"")</f>
      </c>
      <c r="Z37" s="1">
        <f>IF(AND(OR(E37=2,E37=0),G37=3,F37=1),D37,"")</f>
      </c>
      <c r="AA37" s="1">
        <f>IF(AND(OR(E37=3,E37=0),G37=1,F37=1),D37,"")</f>
      </c>
      <c r="AB37" s="1">
        <f>IF(AND(OR(E37=3,E37=0),G37=2,F37=1),D37,"")</f>
      </c>
      <c r="AC37" s="1">
        <f>IF(AND(OR(E37=3,E37=0),G37=3,F37=1),D37,"")</f>
      </c>
      <c r="AD37" s="1">
        <f>IF(AND(OR(E37=1,E37=0),G37=1,F37=0),J37,"")</f>
      </c>
      <c r="AE37" s="1">
        <f>IF(AND(OR(E37=1,E37=0),G37=2,F37=0),J37,"")</f>
      </c>
      <c r="AF37" s="1">
        <f>IF(AND(OR(E37=1,E37=0),G37=3,F37=0),J37,"")</f>
      </c>
      <c r="AG37" s="1">
        <f>IF(AND(OR(E37=1,E37=0),G37=1,F37=1),J37,"")</f>
      </c>
      <c r="AH37" s="1">
        <f>IF(AND(OR(E37=1,E37=0),G37=2,F37=1),J37,"")</f>
      </c>
      <c r="AI37" s="1">
        <f>IF(AND(OR(E37=1,E37=0),G37=3,F37=1),J37,"")</f>
      </c>
      <c r="AJ37" s="1">
        <f>IF(AND(OR(E37=2,E37=0),G37=1,F37=0),J37,"")</f>
      </c>
      <c r="AK37" s="1">
        <f>IF(AND(OR(E37=2,E37=0),G37=2,F37=0),J37,"")</f>
      </c>
      <c r="AL37" s="1">
        <f>IF(AND(OR(E37=2,E37=0),G37=3,F37=0),J37,"")</f>
      </c>
      <c r="AM37" s="1">
        <f>IF(AND(OR(E37=2,E37=0),G37=1,F37=1),J37,"")</f>
      </c>
      <c r="AN37" s="1">
        <f>IF(AND(OR(E37=2,E37=0),G37=2,F37=1),J37,"")</f>
      </c>
      <c r="AO37" s="1">
        <f>IF(AND(OR(E37=2,E37=0),G37=3,F37=1),J37,"")</f>
      </c>
      <c r="AP37" s="1">
        <f>IF(AND(OR(E37=3,E37=0),G37=1,F37=0),J37,"")</f>
      </c>
      <c r="AQ37" s="1">
        <f>IF(AND(OR(E37=3,E37=0),G37=2,F37=0),J37,"")</f>
      </c>
      <c r="AR37" s="1">
        <f>IF(AND(OR(E37=3,E37=0),G37=3,F37=0),J37,"")</f>
      </c>
      <c r="AS37" s="1">
        <f>IF(AND(OR(E37=3,E37=0),G37=1,F37=1),J37,"")</f>
      </c>
      <c r="AT37" s="1">
        <f>IF(AND(OR(E37=3,E37=0),G37=2,F37=1),J37,"")</f>
      </c>
      <c r="AU37" s="1">
        <f>IF(AND(OR(E37=3,E37=0),G37=3,F37=1),J37,"")</f>
      </c>
    </row>
    <row customHeight="true" ht="19" r="38">
      <c r="A38" s="99" t="str">
        <v>晴れたね（蓝睡）</v>
      </c>
      <c r="B38" s="99" t="str"/>
      <c r="C38" s="99" t="str"/>
      <c r="D38" s="116">
        <f>持有情况!P34-ROW()*1e-05</f>
      </c>
      <c r="E38" s="117">
        <v>0</v>
      </c>
      <c r="F38" s="117">
        <v>0</v>
      </c>
      <c r="G38" s="116">
        <v>2</v>
      </c>
      <c r="H38" s="116">
        <v>1</v>
      </c>
      <c r="I38" s="111" t="str">
        <v>蓝睡</v>
      </c>
      <c r="J38" s="116">
        <f>INT((8.5/100)*路线!B11+22*路线!B32+15*路线!B31+40)-ROW()*1e-05</f>
      </c>
      <c r="L38" s="1">
        <f>IF(AND(OR(E38=1,E38=0),G38=1),D38,"")</f>
      </c>
      <c r="M38" s="1">
        <f>IF(AND(OR(E38=2,E38=0),G38=1),D38,"")</f>
      </c>
      <c r="N38" s="1">
        <f>IF(AND(OR(E38=3,E38=0),G38=1),D38,"")</f>
      </c>
      <c r="O38" s="1">
        <f>IF(AND(OR(E38=1,E38=0),G38=2),D38,"")</f>
      </c>
      <c r="P38" s="1">
        <f>IF(AND(OR(E38=2,E38=0),G38=2),D38,"")</f>
      </c>
      <c r="Q38" s="1">
        <f>IF(AND(OR(E38=3,E38=0),G38=2),D38,"")</f>
      </c>
      <c r="R38" s="1">
        <f>IF(AND(OR(E38=1,E38=0),G38=3),D38,"")</f>
      </c>
      <c r="S38" s="1">
        <f>IF(AND(OR(E38=2,E38=0),G38=3),D38,"")</f>
      </c>
      <c r="T38" s="1">
        <f>IF(AND(OR(E38=3,E38=0),G38=3),D38,"")</f>
      </c>
      <c r="U38" s="1">
        <f>IF(AND(OR(E38=1,E38=0),G38=1,F38=1),D38,"")</f>
      </c>
      <c r="V38" s="1">
        <f>IF(AND(OR(E38=1,E38=0),G38=2,F38=1),D38,"")</f>
      </c>
      <c r="W38" s="1">
        <f>IF(AND(OR(E38=1,E38=0),G38=3,F38=1),D38,"")</f>
      </c>
      <c r="X38" s="1">
        <f>IF(AND(OR(E38=2,E38=0),G38=1,F38=1),D38,"")</f>
      </c>
      <c r="Y38" s="1">
        <f>IF(AND(OR(E38=2,E38=0),G38=2,F38=1),D38,"")</f>
      </c>
      <c r="Z38" s="1">
        <f>IF(AND(OR(E38=2,E38=0),G38=3,F38=1),D38,"")</f>
      </c>
      <c r="AA38" s="1">
        <f>IF(AND(OR(E38=3,E38=0),G38=1,F38=1),D38,"")</f>
      </c>
      <c r="AB38" s="1">
        <f>IF(AND(OR(E38=3,E38=0),G38=2,F38=1),D38,"")</f>
      </c>
      <c r="AC38" s="1">
        <f>IF(AND(OR(E38=3,E38=0),G38=3,F38=1),D38,"")</f>
      </c>
      <c r="AD38" s="1">
        <f>IF(AND(OR(E38=1,E38=0),G38=1,F38=0),J38,"")</f>
      </c>
      <c r="AE38" s="1">
        <f>IF(AND(OR(E38=1,E38=0),G38=2,F38=0),J38,"")</f>
      </c>
      <c r="AF38" s="1">
        <f>IF(AND(OR(E38=1,E38=0),G38=3,F38=0),J38,"")</f>
      </c>
      <c r="AG38" s="1">
        <f>IF(AND(OR(E38=1,E38=0),G38=1,F38=1),J38,"")</f>
      </c>
      <c r="AH38" s="1">
        <f>IF(AND(OR(E38=1,E38=0),G38=2,F38=1),J38,"")</f>
      </c>
      <c r="AI38" s="1">
        <f>IF(AND(OR(E38=1,E38=0),G38=3,F38=1),J38,"")</f>
      </c>
      <c r="AJ38" s="1">
        <f>IF(AND(OR(E38=2,E38=0),G38=1,F38=0),J38,"")</f>
      </c>
      <c r="AK38" s="1">
        <f>IF(AND(OR(E38=2,E38=0),G38=2,F38=0),J38,"")</f>
      </c>
      <c r="AL38" s="1">
        <f>IF(AND(OR(E38=2,E38=0),G38=3,F38=0),J38,"")</f>
      </c>
      <c r="AM38" s="1">
        <f>IF(AND(OR(E38=2,E38=0),G38=1,F38=1),J38,"")</f>
      </c>
      <c r="AN38" s="1">
        <f>IF(AND(OR(E38=2,E38=0),G38=2,F38=1),J38,"")</f>
      </c>
      <c r="AO38" s="1">
        <f>IF(AND(OR(E38=2,E38=0),G38=3,F38=1),J38,"")</f>
      </c>
      <c r="AP38" s="1">
        <f>IF(AND(OR(E38=3,E38=0),G38=1,F38=0),J38,"")</f>
      </c>
      <c r="AQ38" s="1">
        <f>IF(AND(OR(E38=3,E38=0),G38=2,F38=0),J38,"")</f>
      </c>
      <c r="AR38" s="1">
        <f>IF(AND(OR(E38=3,E38=0),G38=3,F38=0),J38,"")</f>
      </c>
      <c r="AS38" s="1">
        <f>IF(AND(OR(E38=3,E38=0),G38=1,F38=1),J38,"")</f>
      </c>
      <c r="AT38" s="1">
        <f>IF(AND(OR(E38=3,E38=0),G38=2,F38=1),J38,"")</f>
      </c>
      <c r="AU38" s="1">
        <f>IF(AND(OR(E38=3,E38=0),G38=3,F38=1),J38,"")</f>
      </c>
    </row>
    <row customHeight="true" ht="19" r="39">
      <c r="A39" s="99" t="str">
        <v>きゅる～んωポーズッ☆（可爱pose）</v>
      </c>
      <c r="B39" s="99" t="str"/>
      <c r="C39" s="99" t="str"/>
      <c r="D39" s="116">
        <f>IF(路线!B4="计算",持有情况!AW76,持有情况!AT76)-ROW()*1e-05</f>
      </c>
      <c r="E39" s="116">
        <v>2</v>
      </c>
      <c r="F39" s="116">
        <v>1</v>
      </c>
      <c r="G39" s="116">
        <v>2</v>
      </c>
      <c r="H39" s="117">
        <v>0</v>
      </c>
      <c r="I39" s="1" t="str"/>
      <c r="J39" s="116">
        <f>IF(路线!B4="计算",INT(45+17+13*路线!B15+30+持有情况!AW75),INT(45+17+13*路线!B15+30))-ROW()*1e-05</f>
      </c>
      <c r="L39" s="1">
        <f>IF(AND(OR(E39=1,E39=0),G39=1),D39,"")</f>
      </c>
      <c r="M39" s="1">
        <f>IF(AND(OR(E39=2,E39=0),G39=1),D39,"")</f>
      </c>
      <c r="N39" s="1">
        <f>IF(AND(OR(E39=3,E39=0),G39=1),D39,"")</f>
      </c>
      <c r="O39" s="1">
        <f>IF(AND(OR(E39=1,E39=0),G39=2),D39,"")</f>
      </c>
      <c r="P39" s="1">
        <f>IF(AND(OR(E39=2,E39=0),G39=2),D39,"")</f>
      </c>
      <c r="Q39" s="1">
        <f>IF(AND(OR(E39=3,E39=0),G39=2),D39,"")</f>
      </c>
      <c r="R39" s="1">
        <f>IF(AND(OR(E39=1,E39=0),G39=3),D39,"")</f>
      </c>
      <c r="S39" s="1">
        <f>IF(AND(OR(E39=2,E39=0),G39=3),D39,"")</f>
      </c>
      <c r="T39" s="1">
        <f>IF(AND(OR(E39=3,E39=0),G39=3),D39,"")</f>
      </c>
      <c r="U39" s="1">
        <f>IF(AND(OR(E39=1,E39=0),G39=1,F39=1),D39,"")</f>
      </c>
      <c r="V39" s="1">
        <f>IF(AND(OR(E39=1,E39=0),G39=2,F39=1),D39,"")</f>
      </c>
      <c r="W39" s="1">
        <f>IF(AND(OR(E39=1,E39=0),G39=3,F39=1),D39,"")</f>
      </c>
      <c r="X39" s="1">
        <f>IF(AND(OR(E39=2,E39=0),G39=1,F39=1),D39,"")</f>
      </c>
      <c r="Y39" s="1">
        <f>IF(AND(OR(E39=2,E39=0),G39=2,F39=1),D39,"")</f>
      </c>
      <c r="Z39" s="1">
        <f>IF(AND(OR(E39=2,E39=0),G39=3,F39=1),D39,"")</f>
      </c>
      <c r="AA39" s="1">
        <f>IF(AND(OR(E39=3,E39=0),G39=1,F39=1),D39,"")</f>
      </c>
      <c r="AB39" s="1">
        <f>IF(AND(OR(E39=3,E39=0),G39=2,F39=1),D39,"")</f>
      </c>
      <c r="AC39" s="1">
        <f>IF(AND(OR(E39=3,E39=0),G39=3,F39=1),D39,"")</f>
      </c>
      <c r="AD39" s="1">
        <f>IF(AND(OR(E39=1,E39=0),G39=1,F39=0),J39,"")</f>
      </c>
      <c r="AE39" s="1">
        <f>IF(AND(OR(E39=1,E39=0),G39=2,F39=0),J39,"")</f>
      </c>
      <c r="AF39" s="1">
        <f>IF(AND(OR(E39=1,E39=0),G39=3,F39=0),J39,"")</f>
      </c>
      <c r="AG39" s="1">
        <f>IF(AND(OR(E39=1,E39=0),G39=1,F39=1),J39,"")</f>
      </c>
      <c r="AH39" s="1">
        <f>IF(AND(OR(E39=1,E39=0),G39=2,F39=1),J39,"")</f>
      </c>
      <c r="AI39" s="1">
        <f>IF(AND(OR(E39=1,E39=0),G39=3,F39=1),J39,"")</f>
      </c>
      <c r="AJ39" s="1">
        <f>IF(AND(OR(E39=2,E39=0),G39=1,F39=0),J39,"")</f>
      </c>
      <c r="AK39" s="1">
        <f>IF(AND(OR(E39=2,E39=0),G39=2,F39=0),J39,"")</f>
      </c>
      <c r="AL39" s="1">
        <f>IF(AND(OR(E39=2,E39=0),G39=3,F39=0),J39,"")</f>
      </c>
      <c r="AM39" s="1">
        <f>IF(AND(OR(E39=2,E39=0),G39=1,F39=1),J39,"")</f>
      </c>
      <c r="AN39" s="1">
        <f>IF(AND(OR(E39=2,E39=0),G39=2,F39=1),J39,"")</f>
      </c>
      <c r="AO39" s="1">
        <f>IF(AND(OR(E39=2,E39=0),G39=3,F39=1),J39,"")</f>
      </c>
      <c r="AP39" s="1">
        <f>IF(AND(OR(E39=3,E39=0),G39=1,F39=0),J39,"")</f>
      </c>
      <c r="AQ39" s="1">
        <f>IF(AND(OR(E39=3,E39=0),G39=2,F39=0),J39,"")</f>
      </c>
      <c r="AR39" s="1">
        <f>IF(AND(OR(E39=3,E39=0),G39=3,F39=0),J39,"")</f>
      </c>
      <c r="AS39" s="1">
        <f>IF(AND(OR(E39=3,E39=0),G39=1,F39=1),J39,"")</f>
      </c>
      <c r="AT39" s="1">
        <f>IF(AND(OR(E39=3,E39=0),G39=2,F39=1),J39,"")</f>
      </c>
      <c r="AU39" s="1">
        <f>IF(AND(OR(E39=3,E39=0),G39=3,F39=1),J39,"")</f>
      </c>
    </row>
    <row customHeight="true" ht="19" r="40">
      <c r="A40" s="86" t="str">
        <v>かちこちストレッチ（菲柱体前屈）</v>
      </c>
      <c r="B40" s="86" t="str"/>
      <c r="C40" s="86" t="str"/>
      <c r="D40" s="116">
        <f>IF(路线!B4="计算",持有情况!BG34,持有情况!BD34)-ROW()*1e-05</f>
      </c>
      <c r="E40" s="116">
        <v>2</v>
      </c>
      <c r="F40" s="117">
        <v>0</v>
      </c>
      <c r="G40" s="116">
        <v>3</v>
      </c>
      <c r="H40" s="117">
        <v>0</v>
      </c>
      <c r="I40" s="1" t="str"/>
      <c r="J40" s="116">
        <f>IF(路线!B4="计算",INT((6.4/100)*路线!B11+8*路线!B33+13*路线!B15+30+持有情况!BG33),INT((6.4/100)*路线!B11+8*路线!B33+13*路线!B15+30))-ROW()*1e-05</f>
      </c>
      <c r="L40" s="1">
        <f>IF(AND(OR(E40=1,E40=0),G40=1),D40,"")</f>
      </c>
      <c r="M40" s="1">
        <f>IF(AND(OR(E40=2,E40=0),G40=1),D40,"")</f>
      </c>
      <c r="N40" s="1">
        <f>IF(AND(OR(E40=3,E40=0),G40=1),D40,"")</f>
      </c>
      <c r="O40" s="1">
        <f>IF(AND(OR(E40=1,E40=0),G40=2),D40,"")</f>
      </c>
      <c r="P40" s="1">
        <f>IF(AND(OR(E40=2,E40=0),G40=2),D40,"")</f>
      </c>
      <c r="Q40" s="1">
        <f>IF(AND(OR(E40=3,E40=0),G40=2),D40,"")</f>
      </c>
      <c r="R40" s="1">
        <f>IF(AND(OR(E40=1,E40=0),G40=3),D40,"")</f>
      </c>
      <c r="S40" s="1">
        <f>IF(AND(OR(E40=2,E40=0),G40=3),D40,"")</f>
      </c>
      <c r="T40" s="1">
        <f>IF(AND(OR(E40=3,E40=0),G40=3),D40,"")</f>
      </c>
      <c r="U40" s="1">
        <f>IF(AND(OR(E40=1,E40=0),G40=1,F40=1),D40,"")</f>
      </c>
      <c r="V40" s="1">
        <f>IF(AND(OR(E40=1,E40=0),G40=2,F40=1),D40,"")</f>
      </c>
      <c r="W40" s="1">
        <f>IF(AND(OR(E40=1,E40=0),G40=3,F40=1),D40,"")</f>
      </c>
      <c r="X40" s="1">
        <f>IF(AND(OR(E40=2,E40=0),G40=1,F40=1),D40,"")</f>
      </c>
      <c r="Y40" s="1">
        <f>IF(AND(OR(E40=2,E40=0),G40=2,F40=1),D40,"")</f>
      </c>
      <c r="Z40" s="1">
        <f>IF(AND(OR(E40=2,E40=0),G40=3,F40=1),D40,"")</f>
      </c>
      <c r="AA40" s="1">
        <f>IF(AND(OR(E40=3,E40=0),G40=1,F40=1),D40,"")</f>
      </c>
      <c r="AB40" s="1">
        <f>IF(AND(OR(E40=3,E40=0),G40=2,F40=1),D40,"")</f>
      </c>
      <c r="AC40" s="1">
        <f>IF(AND(OR(E40=3,E40=0),G40=3,F40=1),D40,"")</f>
      </c>
      <c r="AD40" s="1">
        <f>IF(AND(OR(E40=1,E40=0),G40=1,F40=0),J40,"")</f>
      </c>
      <c r="AE40" s="1">
        <f>IF(AND(OR(E40=1,E40=0),G40=2,F40=0),J40,"")</f>
      </c>
      <c r="AF40" s="1">
        <f>IF(AND(OR(E40=1,E40=0),G40=3,F40=0),J40,"")</f>
      </c>
      <c r="AG40" s="1">
        <f>IF(AND(OR(E40=1,E40=0),G40=1,F40=1),J40,"")</f>
      </c>
      <c r="AH40" s="1">
        <f>IF(AND(OR(E40=1,E40=0),G40=2,F40=1),J40,"")</f>
      </c>
      <c r="AI40" s="1">
        <f>IF(AND(OR(E40=1,E40=0),G40=3,F40=1),J40,"")</f>
      </c>
      <c r="AJ40" s="1">
        <f>IF(AND(OR(E40=2,E40=0),G40=1,F40=0),J40,"")</f>
      </c>
      <c r="AK40" s="1">
        <f>IF(AND(OR(E40=2,E40=0),G40=2,F40=0),J40,"")</f>
      </c>
      <c r="AL40" s="1">
        <f>IF(AND(OR(E40=2,E40=0),G40=3,F40=0),J40,"")</f>
      </c>
      <c r="AM40" s="1">
        <f>IF(AND(OR(E40=2,E40=0),G40=1,F40=1),J40,"")</f>
      </c>
      <c r="AN40" s="1">
        <f>IF(AND(OR(E40=2,E40=0),G40=2,F40=1),J40,"")</f>
      </c>
      <c r="AO40" s="1">
        <f>IF(AND(OR(E40=2,E40=0),G40=3,F40=1),J40,"")</f>
      </c>
      <c r="AP40" s="1">
        <f>IF(AND(OR(E40=3,E40=0),G40=1,F40=0),J40,"")</f>
      </c>
      <c r="AQ40" s="1">
        <f>IF(AND(OR(E40=3,E40=0),G40=2,F40=0),J40,"")</f>
      </c>
      <c r="AR40" s="1">
        <f>IF(AND(OR(E40=3,E40=0),G40=3,F40=0),J40,"")</f>
      </c>
      <c r="AS40" s="1">
        <f>IF(AND(OR(E40=3,E40=0),G40=1,F40=1),J40,"")</f>
      </c>
      <c r="AT40" s="1">
        <f>IF(AND(OR(E40=3,E40=0),G40=2,F40=1),J40,"")</f>
      </c>
      <c r="AU40" s="1">
        <f>IF(AND(OR(E40=3,E40=0),G40=3,F40=1),J40,"")</f>
      </c>
    </row>
    <row customHeight="true" ht="19" r="41">
      <c r="A41" s="86" t="str">
        <v>SSCの爆誕（毒蘑菇旧鞋跟）</v>
      </c>
      <c r="B41" s="86" t="str"/>
      <c r="C41" s="86" t="str"/>
      <c r="D41" s="116">
        <f>持有情况!BD70-ROW()*1e-05</f>
      </c>
      <c r="E41" s="116">
        <v>3</v>
      </c>
      <c r="F41" s="116">
        <v>1</v>
      </c>
      <c r="G41" s="116">
        <v>3</v>
      </c>
      <c r="H41" s="116">
        <v>1</v>
      </c>
      <c r="I41" s="111" t="str">
        <v>毒蘑菇旧鞋跟</v>
      </c>
      <c r="J41" s="116">
        <f>IF(路线!C6="计算",INT((6.4/100)*路线!B11+10*路线!B31+13*路线!B15+30+20)-ROW()*1e-05,INT((6.4/100)*路线!B11+10*路线!B31+13*路线!B15+30)-ROW()*1e-05)</f>
      </c>
      <c r="L41" s="1">
        <f>IF(AND(OR(E41=1,E41=0),G41=1),D41,"")</f>
      </c>
      <c r="M41" s="1">
        <f>IF(AND(OR(E41=2,E41=0),G41=1),D41,"")</f>
      </c>
      <c r="N41" s="1">
        <f>IF(AND(OR(E41=3,E41=0),G41=1),D41,"")</f>
      </c>
      <c r="O41" s="1">
        <f>IF(AND(OR(E41=1,E41=0),G41=2),D41,"")</f>
      </c>
      <c r="P41" s="1">
        <f>IF(AND(OR(E41=2,E41=0),G41=2),D41,"")</f>
      </c>
      <c r="Q41" s="1">
        <f>IF(AND(OR(E41=3,E41=0),G41=2),D41,"")</f>
      </c>
      <c r="R41" s="1">
        <f>IF(AND(OR(E41=1,E41=0),G41=3),D41,"")</f>
      </c>
      <c r="S41" s="1">
        <f>IF(AND(OR(E41=2,E41=0),G41=3),D41,"")</f>
      </c>
      <c r="T41" s="1">
        <f>IF(AND(OR(E41=3,E41=0),G41=3),D41,"")</f>
      </c>
      <c r="U41" s="1">
        <f>IF(AND(OR(E41=1,E41=0),G41=1,F41=1),D41,"")</f>
      </c>
      <c r="V41" s="1">
        <f>IF(AND(OR(E41=1,E41=0),G41=2,F41=1),D41,"")</f>
      </c>
      <c r="W41" s="1">
        <f>IF(AND(OR(E41=1,E41=0),G41=3,F41=1),D41,"")</f>
      </c>
      <c r="X41" s="1">
        <f>IF(AND(OR(E41=2,E41=0),G41=1,F41=1),D41,"")</f>
      </c>
      <c r="Y41" s="1">
        <f>IF(AND(OR(E41=2,E41=0),G41=2,F41=1),D41,"")</f>
      </c>
      <c r="Z41" s="1">
        <f>IF(AND(OR(E41=2,E41=0),G41=3,F41=1),D41,"")</f>
      </c>
      <c r="AA41" s="1">
        <f>IF(AND(OR(E41=3,E41=0),G41=1,F41=1),D41,"")</f>
      </c>
      <c r="AB41" s="1">
        <f>IF(AND(OR(E41=3,E41=0),G41=2,F41=1),D41,"")</f>
      </c>
      <c r="AC41" s="1">
        <f>IF(AND(OR(E41=3,E41=0),G41=3,F41=1),D41,"")</f>
      </c>
      <c r="AD41" s="1">
        <f>IF(AND(OR(E41=1,E41=0),G41=1,F41=0),J41,"")</f>
      </c>
      <c r="AE41" s="1">
        <f>IF(AND(OR(E41=1,E41=0),G41=2,F41=0),J41,"")</f>
      </c>
      <c r="AF41" s="1">
        <f>IF(AND(OR(E41=1,E41=0),G41=3,F41=0),J41,"")</f>
      </c>
      <c r="AG41" s="1">
        <f>IF(AND(OR(E41=1,E41=0),G41=1,F41=1),J41,"")</f>
      </c>
      <c r="AH41" s="1">
        <f>IF(AND(OR(E41=1,E41=0),G41=2,F41=1),J41,"")</f>
      </c>
      <c r="AI41" s="1">
        <f>IF(AND(OR(E41=1,E41=0),G41=3,F41=1),J41,"")</f>
      </c>
      <c r="AJ41" s="1">
        <f>IF(AND(OR(E41=2,E41=0),G41=1,F41=0),J41,"")</f>
      </c>
      <c r="AK41" s="1">
        <f>IF(AND(OR(E41=2,E41=0),G41=2,F41=0),J41,"")</f>
      </c>
      <c r="AL41" s="1">
        <f>IF(AND(OR(E41=2,E41=0),G41=3,F41=0),J41,"")</f>
      </c>
      <c r="AM41" s="1">
        <f>IF(AND(OR(E41=2,E41=0),G41=1,F41=1),J41,"")</f>
      </c>
      <c r="AN41" s="1">
        <f>IF(AND(OR(E41=2,E41=0),G41=2,F41=1),J41,"")</f>
      </c>
      <c r="AO41" s="1">
        <f>IF(AND(OR(E41=2,E41=0),G41=3,F41=1),J41,"")</f>
      </c>
      <c r="AP41" s="1">
        <f>IF(AND(OR(E41=3,E41=0),G41=1,F41=0),J41,"")</f>
      </c>
      <c r="AQ41" s="1">
        <f>IF(AND(OR(E41=3,E41=0),G41=2,F41=0),J41,"")</f>
      </c>
      <c r="AR41" s="1">
        <f>IF(AND(OR(E41=3,E41=0),G41=3,F41=0),J41,"")</f>
      </c>
      <c r="AS41" s="1">
        <f>IF(AND(OR(E41=3,E41=0),G41=1,F41=1),J41,"")</f>
      </c>
      <c r="AT41" s="1">
        <f>IF(AND(OR(E41=3,E41=0),G41=2,F41=1),J41,"")</f>
      </c>
      <c r="AU41" s="1">
        <f>IF(AND(OR(E41=3,E41=0),G41=3,F41=1),J41,"")</f>
      </c>
    </row>
    <row customHeight="true" ht="19" r="42">
      <c r="A42" s="86" t="str">
        <v>私の目に狂いはない（黄再动）</v>
      </c>
      <c r="B42" s="86" t="str"/>
      <c r="C42" s="86" t="str"/>
      <c r="D42" s="116">
        <f>持有情况!Z10-ROW()*1e-05</f>
      </c>
      <c r="E42" s="117">
        <v>0</v>
      </c>
      <c r="F42" s="117">
        <v>0</v>
      </c>
      <c r="G42" s="116">
        <v>3</v>
      </c>
      <c r="H42" s="116">
        <v>1</v>
      </c>
      <c r="I42" s="111" t="str">
        <v>黄再动</v>
      </c>
      <c r="J42" s="116">
        <f>INT(路线!B11*(8.5/100)+7*路线!B30+4*(路线!B28+路线!B29)+40)-ROW()*1e-05</f>
      </c>
      <c r="L42" s="1">
        <f>IF(AND(OR(E42=1,E42=0),G42=1),D42,"")</f>
      </c>
      <c r="M42" s="1">
        <f>IF(AND(OR(E42=2,E42=0),G42=1),D42,"")</f>
      </c>
      <c r="N42" s="1">
        <f>IF(AND(OR(E42=3,E42=0),G42=1),D42,"")</f>
      </c>
      <c r="O42" s="1">
        <f>IF(AND(OR(E42=1,E42=0),G42=2),D42,"")</f>
      </c>
      <c r="P42" s="1">
        <f>IF(AND(OR(E42=2,E42=0),G42=2),D42,"")</f>
      </c>
      <c r="Q42" s="1">
        <f>IF(AND(OR(E42=3,E42=0),G42=2),D42,"")</f>
      </c>
      <c r="R42" s="1">
        <f>IF(AND(OR(E42=1,E42=0),G42=3),D42,"")</f>
      </c>
      <c r="S42" s="1">
        <f>IF(AND(OR(E42=2,E42=0),G42=3),D42,"")</f>
      </c>
      <c r="T42" s="1">
        <f>IF(AND(OR(E42=3,E42=0),G42=3),D42,"")</f>
      </c>
      <c r="U42" s="1">
        <f>IF(AND(OR(E42=1,E42=0),G42=1,F42=1),D42,"")</f>
      </c>
      <c r="V42" s="1">
        <f>IF(AND(OR(E42=1,E42=0),G42=2,F42=1),D42,"")</f>
      </c>
      <c r="W42" s="1">
        <f>IF(AND(OR(E42=1,E42=0),G42=3,F42=1),D42,"")</f>
      </c>
      <c r="X42" s="1">
        <f>IF(AND(OR(E42=2,E42=0),G42=1,F42=1),D42,"")</f>
      </c>
      <c r="Y42" s="1">
        <f>IF(AND(OR(E42=2,E42=0),G42=2,F42=1),D42,"")</f>
      </c>
      <c r="Z42" s="1">
        <f>IF(AND(OR(E42=2,E42=0),G42=3,F42=1),D42,"")</f>
      </c>
      <c r="AA42" s="1">
        <f>IF(AND(OR(E42=3,E42=0),G42=1,F42=1),D42,"")</f>
      </c>
      <c r="AB42" s="1">
        <f>IF(AND(OR(E42=3,E42=0),G42=2,F42=1),D42,"")</f>
      </c>
      <c r="AC42" s="1">
        <f>IF(AND(OR(E42=3,E42=0),G42=3,F42=1),D42,"")</f>
      </c>
      <c r="AD42" s="1">
        <f>IF(AND(OR(E42=1,E42=0),G42=1,F42=0),J42,"")</f>
      </c>
      <c r="AE42" s="1">
        <f>IF(AND(OR(E42=1,E42=0),G42=2,F42=0),J42,"")</f>
      </c>
      <c r="AF42" s="1">
        <f>IF(AND(OR(E42=1,E42=0),G42=3,F42=0),J42,"")</f>
      </c>
      <c r="AG42" s="1">
        <f>IF(AND(OR(E42=1,E42=0),G42=1,F42=1),J42,"")</f>
      </c>
      <c r="AH42" s="1">
        <f>IF(AND(OR(E42=1,E42=0),G42=2,F42=1),J42,"")</f>
      </c>
      <c r="AI42" s="1">
        <f>IF(AND(OR(E42=1,E42=0),G42=3,F42=1),J42,"")</f>
      </c>
      <c r="AJ42" s="1">
        <f>IF(AND(OR(E42=2,E42=0),G42=1,F42=0),J42,"")</f>
      </c>
      <c r="AK42" s="1">
        <f>IF(AND(OR(E42=2,E42=0),G42=2,F42=0),J42,"")</f>
      </c>
      <c r="AL42" s="1">
        <f>IF(AND(OR(E42=2,E42=0),G42=3,F42=0),J42,"")</f>
      </c>
      <c r="AM42" s="1">
        <f>IF(AND(OR(E42=2,E42=0),G42=1,F42=1),J42,"")</f>
      </c>
      <c r="AN42" s="1">
        <f>IF(AND(OR(E42=2,E42=0),G42=2,F42=1),J42,"")</f>
      </c>
      <c r="AO42" s="1">
        <f>IF(AND(OR(E42=2,E42=0),G42=3,F42=1),J42,"")</f>
      </c>
      <c r="AP42" s="1">
        <f>IF(AND(OR(E42=3,E42=0),G42=1,F42=0),J42,"")</f>
      </c>
      <c r="AQ42" s="1">
        <f>IF(AND(OR(E42=3,E42=0),G42=2,F42=0),J42,"")</f>
      </c>
      <c r="AR42" s="1">
        <f>IF(AND(OR(E42=3,E42=0),G42=3,F42=0),J42,"")</f>
      </c>
      <c r="AS42" s="1">
        <f>IF(AND(OR(E42=3,E42=0),G42=1,F42=1),J42,"")</f>
      </c>
      <c r="AT42" s="1">
        <f>IF(AND(OR(E42=3,E42=0),G42=2,F42=1),J42,"")</f>
      </c>
      <c r="AU42" s="1">
        <f>IF(AND(OR(E42=3,E42=0),G42=3,F42=1),J42,"")</f>
      </c>
    </row>
    <row customHeight="true" ht="19" r="43">
      <c r="A43" s="75" t="str">
        <v>可愛いと可愛いで可愛い！（三可爱）</v>
      </c>
      <c r="B43" s="75" t="str"/>
      <c r="C43" s="75" t="str"/>
      <c r="D43" s="116">
        <f>持有情况!F16-ROW()*1e-05</f>
      </c>
      <c r="E43" s="117">
        <v>0</v>
      </c>
      <c r="F43" s="116">
        <v>1</v>
      </c>
      <c r="G43" s="116">
        <v>1</v>
      </c>
      <c r="H43" s="116">
        <v>1</v>
      </c>
      <c r="I43" s="111" t="str">
        <v>三可爱</v>
      </c>
      <c r="J43" s="116">
        <f>IF(路线!C6="计算",INT(60+17*路线!B15+3*路线!B23+40+20)-ROW()*1e-05,INT(60+17*路线!B15+3*路线!B23+40)-ROW()*1e-05)</f>
      </c>
      <c r="L43" s="1">
        <f>IF(AND(OR(E43=1,E43=0),G43=1),D43,"")</f>
      </c>
      <c r="M43" s="1">
        <f>IF(AND(OR(E43=2,E43=0),G43=1),D43,"")</f>
      </c>
      <c r="N43" s="1">
        <f>IF(AND(OR(E43=3,E43=0),G43=1),D43,"")</f>
      </c>
      <c r="O43" s="1">
        <f>IF(AND(OR(E43=1,E43=0),G43=2),D43,"")</f>
      </c>
      <c r="P43" s="1">
        <f>IF(AND(OR(E43=2,E43=0),G43=2),D43,"")</f>
      </c>
      <c r="Q43" s="1">
        <f>IF(AND(OR(E43=3,E43=0),G43=2),D43,"")</f>
      </c>
      <c r="R43" s="1">
        <f>IF(AND(OR(E43=1,E43=0),G43=3),D43,"")</f>
      </c>
      <c r="S43" s="1">
        <f>IF(AND(OR(E43=2,E43=0),G43=3),D43,"")</f>
      </c>
      <c r="T43" s="1">
        <f>IF(AND(OR(E43=3,E43=0),G43=3),D43,"")</f>
      </c>
      <c r="U43" s="1">
        <f>IF(AND(OR(E43=1,E43=0),G43=1,F43=1),D43,"")</f>
      </c>
      <c r="V43" s="1">
        <f>IF(AND(OR(E43=1,E43=0),G43=2,F43=1),D43,"")</f>
      </c>
      <c r="W43" s="1">
        <f>IF(AND(OR(E43=1,E43=0),G43=3,F43=1),D43,"")</f>
      </c>
      <c r="X43" s="1">
        <f>IF(AND(OR(E43=2,E43=0),G43=1,F43=1),D43,"")</f>
      </c>
      <c r="Y43" s="1">
        <f>IF(AND(OR(E43=2,E43=0),G43=2,F43=1),D43,"")</f>
      </c>
      <c r="Z43" s="1">
        <f>IF(AND(OR(E43=2,E43=0),G43=3,F43=1),D43,"")</f>
      </c>
      <c r="AA43" s="1">
        <f>IF(AND(OR(E43=3,E43=0),G43=1,F43=1),D43,"")</f>
      </c>
      <c r="AB43" s="1">
        <f>IF(AND(OR(E43=3,E43=0),G43=2,F43=1),D43,"")</f>
      </c>
      <c r="AC43" s="1">
        <f>IF(AND(OR(E43=3,E43=0),G43=3,F43=1),D43,"")</f>
      </c>
      <c r="AD43" s="1">
        <f>IF(AND(OR(E43=1,E43=0),G43=1,F43=0),J43,"")</f>
      </c>
      <c r="AE43" s="1">
        <f>IF(AND(OR(E43=1,E43=0),G43=2,F43=0),J43,"")</f>
      </c>
      <c r="AF43" s="1">
        <f>IF(AND(OR(E43=1,E43=0),G43=3,F43=0),J43,"")</f>
      </c>
      <c r="AG43" s="1">
        <f>IF(AND(OR(E43=1,E43=0),G43=1,F43=1),J43,"")</f>
      </c>
      <c r="AH43" s="1">
        <f>IF(AND(OR(E43=1,E43=0),G43=2,F43=1),J43,"")</f>
      </c>
      <c r="AI43" s="1">
        <f>IF(AND(OR(E43=1,E43=0),G43=3,F43=1),J43,"")</f>
      </c>
      <c r="AJ43" s="1">
        <f>IF(AND(OR(E43=2,E43=0),G43=1,F43=0),J43,"")</f>
      </c>
      <c r="AK43" s="1">
        <f>IF(AND(OR(E43=2,E43=0),G43=2,F43=0),J43,"")</f>
      </c>
      <c r="AL43" s="1">
        <f>IF(AND(OR(E43=2,E43=0),G43=3,F43=0),J43,"")</f>
      </c>
      <c r="AM43" s="1">
        <f>IF(AND(OR(E43=2,E43=0),G43=1,F43=1),J43,"")</f>
      </c>
      <c r="AN43" s="1">
        <f>IF(AND(OR(E43=2,E43=0),G43=2,F43=1),J43,"")</f>
      </c>
      <c r="AO43" s="1">
        <f>IF(AND(OR(E43=2,E43=0),G43=3,F43=1),J43,"")</f>
      </c>
      <c r="AP43" s="1">
        <f>IF(AND(OR(E43=3,E43=0),G43=1,F43=0),J43,"")</f>
      </c>
      <c r="AQ43" s="1">
        <f>IF(AND(OR(E43=3,E43=0),G43=2,F43=0),J43,"")</f>
      </c>
      <c r="AR43" s="1">
        <f>IF(AND(OR(E43=3,E43=0),G43=3,F43=0),J43,"")</f>
      </c>
      <c r="AS43" s="1">
        <f>IF(AND(OR(E43=3,E43=0),G43=1,F43=1),J43,"")</f>
      </c>
      <c r="AT43" s="1">
        <f>IF(AND(OR(E43=3,E43=0),G43=2,F43=1),J43,"")</f>
      </c>
      <c r="AU43" s="1">
        <f>IF(AND(OR(E43=3,E43=0),G43=3,F43=1),J43,"")</f>
      </c>
    </row>
    <row customHeight="true" ht="19" r="44">
      <c r="A44" s="75" t="str">
        <v>一時休戦です（一时休战）</v>
      </c>
      <c r="B44" s="75" t="str"/>
      <c r="C44" s="75" t="str"/>
      <c r="D44" s="116">
        <f>持有情况!F46-ROW()*1e-05</f>
      </c>
      <c r="E44" s="116">
        <v>1</v>
      </c>
      <c r="F44" s="117">
        <v>0</v>
      </c>
      <c r="G44" s="116">
        <v>1</v>
      </c>
      <c r="H44" s="116">
        <v>1</v>
      </c>
      <c r="I44" s="111" t="str">
        <v>一时休战</v>
      </c>
      <c r="J44" s="116">
        <f>IF(路线!C6="计算",INT((8.5/100)*路线!B11+17*路线!B15+17*路线!B34+40+20)-ROW()*1e-05,INT((8.5/100)*路线!B11+17*路线!B15+17*路线!B34+40)-ROW()*1e-05)</f>
      </c>
      <c r="L44" s="1">
        <f>IF(AND(OR(E44=1,E44=0),G44=1),D44,"")</f>
      </c>
      <c r="M44" s="1">
        <f>IF(AND(OR(E44=2,E44=0),G44=1),D44,"")</f>
      </c>
      <c r="N44" s="1">
        <f>IF(AND(OR(E44=3,E44=0),G44=1),D44,"")</f>
      </c>
      <c r="O44" s="1">
        <f>IF(AND(OR(E44=1,E44=0),G44=2),D44,"")</f>
      </c>
      <c r="P44" s="1">
        <f>IF(AND(OR(E44=2,E44=0),G44=2),D44,"")</f>
      </c>
      <c r="Q44" s="1">
        <f>IF(AND(OR(E44=3,E44=0),G44=2),D44,"")</f>
      </c>
      <c r="R44" s="1">
        <f>IF(AND(OR(E44=1,E44=0),G44=3),D44,"")</f>
      </c>
      <c r="S44" s="1">
        <f>IF(AND(OR(E44=2,E44=0),G44=3),D44,"")</f>
      </c>
      <c r="T44" s="1">
        <f>IF(AND(OR(E44=3,E44=0),G44=3),D44,"")</f>
      </c>
      <c r="U44" s="1">
        <f>IF(AND(OR(E44=1,E44=0),G44=1,F44=1),D44,"")</f>
      </c>
      <c r="V44" s="1">
        <f>IF(AND(OR(E44=1,E44=0),G44=2,F44=1),D44,"")</f>
      </c>
      <c r="W44" s="1">
        <f>IF(AND(OR(E44=1,E44=0),G44=3,F44=1),D44,"")</f>
      </c>
      <c r="X44" s="1">
        <f>IF(AND(OR(E44=2,E44=0),G44=1,F44=1),D44,"")</f>
      </c>
      <c r="Y44" s="1">
        <f>IF(AND(OR(E44=2,E44=0),G44=2,F44=1),D44,"")</f>
      </c>
      <c r="Z44" s="1">
        <f>IF(AND(OR(E44=2,E44=0),G44=3,F44=1),D44,"")</f>
      </c>
      <c r="AA44" s="1">
        <f>IF(AND(OR(E44=3,E44=0),G44=1,F44=1),D44,"")</f>
      </c>
      <c r="AB44" s="1">
        <f>IF(AND(OR(E44=3,E44=0),G44=2,F44=1),D44,"")</f>
      </c>
      <c r="AC44" s="1">
        <f>IF(AND(OR(E44=3,E44=0),G44=3,F44=1),D44,"")</f>
      </c>
      <c r="AD44" s="1">
        <f>IF(AND(OR(E44=1,E44=0),G44=1,F44=0),J44,"")</f>
      </c>
      <c r="AE44" s="1">
        <f>IF(AND(OR(E44=1,E44=0),G44=2,F44=0),J44,"")</f>
      </c>
      <c r="AF44" s="1">
        <f>IF(AND(OR(E44=1,E44=0),G44=3,F44=0),J44,"")</f>
      </c>
      <c r="AG44" s="1">
        <f>IF(AND(OR(E44=1,E44=0),G44=1,F44=1),J44,"")</f>
      </c>
      <c r="AH44" s="1">
        <f>IF(AND(OR(E44=1,E44=0),G44=2,F44=1),J44,"")</f>
      </c>
      <c r="AI44" s="1">
        <f>IF(AND(OR(E44=1,E44=0),G44=3,F44=1),J44,"")</f>
      </c>
      <c r="AJ44" s="1">
        <f>IF(AND(OR(E44=2,E44=0),G44=1,F44=0),J44,"")</f>
      </c>
      <c r="AK44" s="1">
        <f>IF(AND(OR(E44=2,E44=0),G44=2,F44=0),J44,"")</f>
      </c>
      <c r="AL44" s="1">
        <f>IF(AND(OR(E44=2,E44=0),G44=3,F44=0),J44,"")</f>
      </c>
      <c r="AM44" s="1">
        <f>IF(AND(OR(E44=2,E44=0),G44=1,F44=1),J44,"")</f>
      </c>
      <c r="AN44" s="1">
        <f>IF(AND(OR(E44=2,E44=0),G44=2,F44=1),J44,"")</f>
      </c>
      <c r="AO44" s="1">
        <f>IF(AND(OR(E44=2,E44=0),G44=3,F44=1),J44,"")</f>
      </c>
      <c r="AP44" s="1">
        <f>IF(AND(OR(E44=3,E44=0),G44=1,F44=0),J44,"")</f>
      </c>
      <c r="AQ44" s="1">
        <f>IF(AND(OR(E44=3,E44=0),G44=2,F44=0),J44,"")</f>
      </c>
      <c r="AR44" s="1">
        <f>IF(AND(OR(E44=3,E44=0),G44=3,F44=0),J44,"")</f>
      </c>
      <c r="AS44" s="1">
        <f>IF(AND(OR(E44=3,E44=0),G44=1,F44=1),J44,"")</f>
      </c>
      <c r="AT44" s="1">
        <f>IF(AND(OR(E44=3,E44=0),G44=2,F44=1),J44,"")</f>
      </c>
      <c r="AU44" s="1">
        <f>IF(AND(OR(E44=3,E44=0),G44=3,F44=1),J44,"")</f>
      </c>
    </row>
    <row customHeight="true" ht="19" r="45">
      <c r="A45" s="75" t="str">
        <v>さあ、もう一戦！（黑岩射手）</v>
      </c>
      <c r="B45" s="75" t="str"/>
      <c r="C45" s="75" t="str"/>
      <c r="D45" s="116">
        <f>持有情况!F94-ROW()*1e-05</f>
      </c>
      <c r="E45" s="117">
        <v>0</v>
      </c>
      <c r="F45" s="117">
        <v>0</v>
      </c>
      <c r="G45" s="116">
        <v>1</v>
      </c>
      <c r="H45" s="116">
        <v>1</v>
      </c>
      <c r="I45" s="111" t="str">
        <v>黑岩射手</v>
      </c>
      <c r="J45" s="116">
        <f>IF(路线!C6="计算",INT((8.5/100)*路线!B11+2*路线!B24+13*路线!B15+40+20)-ROW()*1e-05,INT((8.5/100)*路线!B11+2*路线!B24+13*路线!B15+40)-ROW()*1e-05)</f>
      </c>
      <c r="L45" s="1">
        <f>IF(AND(OR(E45=1,E45=0),G45=1),D45,"")</f>
      </c>
      <c r="M45" s="1">
        <f>IF(AND(OR(E45=2,E45=0),G45=1),D45,"")</f>
      </c>
      <c r="N45" s="1">
        <f>IF(AND(OR(E45=3,E45=0),G45=1),D45,"")</f>
      </c>
      <c r="O45" s="1">
        <f>IF(AND(OR(E45=1,E45=0),G45=2),D45,"")</f>
      </c>
      <c r="P45" s="1">
        <f>IF(AND(OR(E45=2,E45=0),G45=2),D45,"")</f>
      </c>
      <c r="Q45" s="1">
        <f>IF(AND(OR(E45=3,E45=0),G45=2),D45,"")</f>
      </c>
      <c r="R45" s="1">
        <f>IF(AND(OR(E45=1,E45=0),G45=3),D45,"")</f>
      </c>
      <c r="S45" s="1">
        <f>IF(AND(OR(E45=2,E45=0),G45=3),D45,"")</f>
      </c>
      <c r="T45" s="1">
        <f>IF(AND(OR(E45=3,E45=0),G45=3),D45,"")</f>
      </c>
      <c r="U45" s="1">
        <f>IF(AND(OR(E45=1,E45=0),G45=1,F45=1),D45,"")</f>
      </c>
      <c r="V45" s="1">
        <f>IF(AND(OR(E45=1,E45=0),G45=2,F45=1),D45,"")</f>
      </c>
      <c r="W45" s="1">
        <f>IF(AND(OR(E45=1,E45=0),G45=3,F45=1),D45,"")</f>
      </c>
      <c r="X45" s="1">
        <f>IF(AND(OR(E45=2,E45=0),G45=1,F45=1),D45,"")</f>
      </c>
      <c r="Y45" s="1">
        <f>IF(AND(OR(E45=2,E45=0),G45=2,F45=1),D45,"")</f>
      </c>
      <c r="Z45" s="1">
        <f>IF(AND(OR(E45=2,E45=0),G45=3,F45=1),D45,"")</f>
      </c>
      <c r="AA45" s="1">
        <f>IF(AND(OR(E45=3,E45=0),G45=1,F45=1),D45,"")</f>
      </c>
      <c r="AB45" s="1">
        <f>IF(AND(OR(E45=3,E45=0),G45=2,F45=1),D45,"")</f>
      </c>
      <c r="AC45" s="1">
        <f>IF(AND(OR(E45=3,E45=0),G45=3,F45=1),D45,"")</f>
      </c>
      <c r="AD45" s="1">
        <f>IF(AND(OR(E45=1,E45=0),G45=1,F45=0),J45,"")</f>
      </c>
      <c r="AE45" s="1">
        <f>IF(AND(OR(E45=1,E45=0),G45=2,F45=0),J45,"")</f>
      </c>
      <c r="AF45" s="1">
        <f>IF(AND(OR(E45=1,E45=0),G45=3,F45=0),J45,"")</f>
      </c>
      <c r="AG45" s="1">
        <f>IF(AND(OR(E45=1,E45=0),G45=1,F45=1),J45,"")</f>
      </c>
      <c r="AH45" s="1">
        <f>IF(AND(OR(E45=1,E45=0),G45=2,F45=1),J45,"")</f>
      </c>
      <c r="AI45" s="1">
        <f>IF(AND(OR(E45=1,E45=0),G45=3,F45=1),J45,"")</f>
      </c>
      <c r="AJ45" s="1">
        <f>IF(AND(OR(E45=2,E45=0),G45=1,F45=0),J45,"")</f>
      </c>
      <c r="AK45" s="1">
        <f>IF(AND(OR(E45=2,E45=0),G45=2,F45=0),J45,"")</f>
      </c>
      <c r="AL45" s="1">
        <f>IF(AND(OR(E45=2,E45=0),G45=3,F45=0),J45,"")</f>
      </c>
      <c r="AM45" s="1">
        <f>IF(AND(OR(E45=2,E45=0),G45=1,F45=1),J45,"")</f>
      </c>
      <c r="AN45" s="1">
        <f>IF(AND(OR(E45=2,E45=0),G45=2,F45=1),J45,"")</f>
      </c>
      <c r="AO45" s="1">
        <f>IF(AND(OR(E45=2,E45=0),G45=3,F45=1),J45,"")</f>
      </c>
      <c r="AP45" s="1">
        <f>IF(AND(OR(E45=3,E45=0),G45=1,F45=0),J45,"")</f>
      </c>
      <c r="AQ45" s="1">
        <f>IF(AND(OR(E45=3,E45=0),G45=2,F45=0),J45,"")</f>
      </c>
      <c r="AR45" s="1">
        <f>IF(AND(OR(E45=3,E45=0),G45=3,F45=0),J45,"")</f>
      </c>
      <c r="AS45" s="1">
        <f>IF(AND(OR(E45=3,E45=0),G45=1,F45=1),J45,"")</f>
      </c>
      <c r="AT45" s="1">
        <f>IF(AND(OR(E45=3,E45=0),G45=2,F45=1),J45,"")</f>
      </c>
      <c r="AU45" s="1">
        <f>IF(AND(OR(E45=3,E45=0),G45=3,F45=1),J45,"")</f>
      </c>
    </row>
    <row customHeight="true" ht="19" r="46">
      <c r="A46" s="99" t="str">
        <v>あっちも行きたいですわ！（大饮料）</v>
      </c>
      <c r="B46" s="99" t="str"/>
      <c r="C46" s="99" t="str"/>
      <c r="D46" s="116">
        <f>持有情况!P52-ROW()*1e-05</f>
      </c>
      <c r="E46" s="116">
        <v>1</v>
      </c>
      <c r="F46" s="116">
        <v>1</v>
      </c>
      <c r="G46" s="116">
        <v>2</v>
      </c>
      <c r="H46" s="117">
        <v>0</v>
      </c>
      <c r="I46" s="1" t="str"/>
      <c r="J46" s="116">
        <f>INT(60+17*路线!B15+3*路线!B23+40)-ROW()*1e-05</f>
      </c>
      <c r="L46" s="1">
        <f>IF(AND(OR(E46=1,E46=0),G46=1),D46,"")</f>
      </c>
      <c r="M46" s="1">
        <f>IF(AND(OR(E46=2,E46=0),G46=1),D46,"")</f>
      </c>
      <c r="N46" s="1">
        <f>IF(AND(OR(E46=3,E46=0),G46=1),D46,"")</f>
      </c>
      <c r="O46" s="1">
        <f>IF(AND(OR(E46=1,E46=0),G46=2),D46,"")</f>
      </c>
      <c r="P46" s="1">
        <f>IF(AND(OR(E46=2,E46=0),G46=2),D46,"")</f>
      </c>
      <c r="Q46" s="1">
        <f>IF(AND(OR(E46=3,E46=0),G46=2),D46,"")</f>
      </c>
      <c r="R46" s="1">
        <f>IF(AND(OR(E46=1,E46=0),G46=3),D46,"")</f>
      </c>
      <c r="S46" s="1">
        <f>IF(AND(OR(E46=2,E46=0),G46=3),D46,"")</f>
      </c>
      <c r="T46" s="1">
        <f>IF(AND(OR(E46=3,E46=0),G46=3),D46,"")</f>
      </c>
      <c r="U46" s="1">
        <f>IF(AND(OR(E46=1,E46=0),G46=1,F46=1),D46,"")</f>
      </c>
      <c r="V46" s="1">
        <f>IF(AND(OR(E46=1,E46=0),G46=2,F46=1),D46,"")</f>
      </c>
      <c r="W46" s="1">
        <f>IF(AND(OR(E46=1,E46=0),G46=3,F46=1),D46,"")</f>
      </c>
      <c r="X46" s="1">
        <f>IF(AND(OR(E46=2,E46=0),G46=1,F46=1),D46,"")</f>
      </c>
      <c r="Y46" s="1">
        <f>IF(AND(OR(E46=2,E46=0),G46=2,F46=1),D46,"")</f>
      </c>
      <c r="Z46" s="1">
        <f>IF(AND(OR(E46=2,E46=0),G46=3,F46=1),D46,"")</f>
      </c>
      <c r="AA46" s="1">
        <f>IF(AND(OR(E46=3,E46=0),G46=1,F46=1),D46,"")</f>
      </c>
      <c r="AB46" s="1">
        <f>IF(AND(OR(E46=3,E46=0),G46=2,F46=1),D46,"")</f>
      </c>
      <c r="AC46" s="1">
        <f>IF(AND(OR(E46=3,E46=0),G46=3,F46=1),D46,"")</f>
      </c>
      <c r="AD46" s="1">
        <f>IF(AND(OR(E46=1,E46=0),G46=1,F46=0),J46,"")</f>
      </c>
      <c r="AE46" s="1">
        <f>IF(AND(OR(E46=1,E46=0),G46=2,F46=0),J46,"")</f>
      </c>
      <c r="AF46" s="1">
        <f>IF(AND(OR(E46=1,E46=0),G46=3,F46=0),J46,"")</f>
      </c>
      <c r="AG46" s="1">
        <f>IF(AND(OR(E46=1,E46=0),G46=1,F46=1),J46,"")</f>
      </c>
      <c r="AH46" s="1">
        <f>IF(AND(OR(E46=1,E46=0),G46=2,F46=1),J46,"")</f>
      </c>
      <c r="AI46" s="1">
        <f>IF(AND(OR(E46=1,E46=0),G46=3,F46=1),J46,"")</f>
      </c>
      <c r="AJ46" s="1">
        <f>IF(AND(OR(E46=2,E46=0),G46=1,F46=0),J46,"")</f>
      </c>
      <c r="AK46" s="1">
        <f>IF(AND(OR(E46=2,E46=0),G46=2,F46=0),J46,"")</f>
      </c>
      <c r="AL46" s="1">
        <f>IF(AND(OR(E46=2,E46=0),G46=3,F46=0),J46,"")</f>
      </c>
      <c r="AM46" s="1">
        <f>IF(AND(OR(E46=2,E46=0),G46=1,F46=1),J46,"")</f>
      </c>
      <c r="AN46" s="1">
        <f>IF(AND(OR(E46=2,E46=0),G46=2,F46=1),J46,"")</f>
      </c>
      <c r="AO46" s="1">
        <f>IF(AND(OR(E46=2,E46=0),G46=3,F46=1),J46,"")</f>
      </c>
      <c r="AP46" s="1">
        <f>IF(AND(OR(E46=3,E46=0),G46=1,F46=0),J46,"")</f>
      </c>
      <c r="AQ46" s="1">
        <f>IF(AND(OR(E46=3,E46=0),G46=2,F46=0),J46,"")</f>
      </c>
      <c r="AR46" s="1">
        <f>IF(AND(OR(E46=3,E46=0),G46=3,F46=0),J46,"")</f>
      </c>
      <c r="AS46" s="1">
        <f>IF(AND(OR(E46=3,E46=0),G46=1,F46=1),J46,"")</f>
      </c>
      <c r="AT46" s="1">
        <f>IF(AND(OR(E46=3,E46=0),G46=2,F46=1),J46,"")</f>
      </c>
      <c r="AU46" s="1">
        <f>IF(AND(OR(E46=3,E46=0),G46=3,F46=1),J46,"")</f>
      </c>
    </row>
    <row customHeight="true" ht="19" r="47">
      <c r="A47" s="99" t="str">
        <v>待ちなさーい！（蓝旗）</v>
      </c>
      <c r="B47" s="99" t="str"/>
      <c r="C47" s="99" t="str"/>
      <c r="D47" s="116">
        <f>持有情况!P82-ROW()*1e-05</f>
      </c>
      <c r="E47" s="116">
        <v>3</v>
      </c>
      <c r="F47" s="116">
        <v>1</v>
      </c>
      <c r="G47" s="116">
        <v>2</v>
      </c>
      <c r="H47" s="116">
        <v>1</v>
      </c>
      <c r="I47" s="111" t="str">
        <v>蓝旗</v>
      </c>
      <c r="J47" s="116">
        <f>INT(60+17*路线!B15+3*路线!B23+40)-ROW()*1e-05</f>
      </c>
      <c r="L47" s="1">
        <f>IF(AND(OR(E47=1,E47=0),G47=1),D47,"")</f>
      </c>
      <c r="M47" s="1">
        <f>IF(AND(OR(E47=2,E47=0),G47=1),D47,"")</f>
      </c>
      <c r="N47" s="1">
        <f>IF(AND(OR(E47=3,E47=0),G47=1),D47,"")</f>
      </c>
      <c r="O47" s="1">
        <f>IF(AND(OR(E47=1,E47=0),G47=2),D47,"")</f>
      </c>
      <c r="P47" s="1">
        <f>IF(AND(OR(E47=2,E47=0),G47=2),D47,"")</f>
      </c>
      <c r="Q47" s="1">
        <f>IF(AND(OR(E47=3,E47=0),G47=2),D47,"")</f>
      </c>
      <c r="R47" s="1">
        <f>IF(AND(OR(E47=1,E47=0),G47=3),D47,"")</f>
      </c>
      <c r="S47" s="1">
        <f>IF(AND(OR(E47=2,E47=0),G47=3),D47,"")</f>
      </c>
      <c r="T47" s="1">
        <f>IF(AND(OR(E47=3,E47=0),G47=3),D47,"")</f>
      </c>
      <c r="U47" s="1">
        <f>IF(AND(OR(E47=1,E47=0),G47=1,F47=1),D47,"")</f>
      </c>
      <c r="V47" s="1">
        <f>IF(AND(OR(E47=1,E47=0),G47=2,F47=1),D47,"")</f>
      </c>
      <c r="W47" s="1">
        <f>IF(AND(OR(E47=1,E47=0),G47=3,F47=1),D47,"")</f>
      </c>
      <c r="X47" s="1">
        <f>IF(AND(OR(E47=2,E47=0),G47=1,F47=1),D47,"")</f>
      </c>
      <c r="Y47" s="1">
        <f>IF(AND(OR(E47=2,E47=0),G47=2,F47=1),D47,"")</f>
      </c>
      <c r="Z47" s="1">
        <f>IF(AND(OR(E47=2,E47=0),G47=3,F47=1),D47,"")</f>
      </c>
      <c r="AA47" s="1">
        <f>IF(AND(OR(E47=3,E47=0),G47=1,F47=1),D47,"")</f>
      </c>
      <c r="AB47" s="1">
        <f>IF(AND(OR(E47=3,E47=0),G47=2,F47=1),D47,"")</f>
      </c>
      <c r="AC47" s="1">
        <f>IF(AND(OR(E47=3,E47=0),G47=3,F47=1),D47,"")</f>
      </c>
      <c r="AD47" s="1">
        <f>IF(AND(OR(E47=1,E47=0),G47=1,F47=0),J47,"")</f>
      </c>
      <c r="AE47" s="1">
        <f>IF(AND(OR(E47=1,E47=0),G47=2,F47=0),J47,"")</f>
      </c>
      <c r="AF47" s="1">
        <f>IF(AND(OR(E47=1,E47=0),G47=3,F47=0),J47,"")</f>
      </c>
      <c r="AG47" s="1">
        <f>IF(AND(OR(E47=1,E47=0),G47=1,F47=1),J47,"")</f>
      </c>
      <c r="AH47" s="1">
        <f>IF(AND(OR(E47=1,E47=0),G47=2,F47=1),J47,"")</f>
      </c>
      <c r="AI47" s="1">
        <f>IF(AND(OR(E47=1,E47=0),G47=3,F47=1),J47,"")</f>
      </c>
      <c r="AJ47" s="1">
        <f>IF(AND(OR(E47=2,E47=0),G47=1,F47=0),J47,"")</f>
      </c>
      <c r="AK47" s="1">
        <f>IF(AND(OR(E47=2,E47=0),G47=2,F47=0),J47,"")</f>
      </c>
      <c r="AL47" s="1">
        <f>IF(AND(OR(E47=2,E47=0),G47=3,F47=0),J47,"")</f>
      </c>
      <c r="AM47" s="1">
        <f>IF(AND(OR(E47=2,E47=0),G47=1,F47=1),J47,"")</f>
      </c>
      <c r="AN47" s="1">
        <f>IF(AND(OR(E47=2,E47=0),G47=2,F47=1),J47,"")</f>
      </c>
      <c r="AO47" s="1">
        <f>IF(AND(OR(E47=2,E47=0),G47=3,F47=1),J47,"")</f>
      </c>
      <c r="AP47" s="1">
        <f>IF(AND(OR(E47=3,E47=0),G47=1,F47=0),J47,"")</f>
      </c>
      <c r="AQ47" s="1">
        <f>IF(AND(OR(E47=3,E47=0),G47=2,F47=0),J47,"")</f>
      </c>
      <c r="AR47" s="1">
        <f>IF(AND(OR(E47=3,E47=0),G47=3,F47=0),J47,"")</f>
      </c>
      <c r="AS47" s="1">
        <f>IF(AND(OR(E47=3,E47=0),G47=1,F47=1),J47,"")</f>
      </c>
      <c r="AT47" s="1">
        <f>IF(AND(OR(E47=3,E47=0),G47=2,F47=1),J47,"")</f>
      </c>
      <c r="AU47" s="1">
        <f>IF(AND(OR(E47=3,E47=0),G47=3,F47=1),J47,"")</f>
      </c>
    </row>
    <row customHeight="true" ht="19" r="48">
      <c r="A48" s="86" t="str">
        <v>ゆっくりと過ごしましょう（黄购物）</v>
      </c>
      <c r="B48" s="86" t="str"/>
      <c r="C48" s="86" t="str"/>
      <c r="D48" s="116">
        <f>持有情况!Z58-ROW()*1e-05</f>
      </c>
      <c r="E48" s="116">
        <v>2</v>
      </c>
      <c r="F48" s="117">
        <v>0</v>
      </c>
      <c r="G48" s="116">
        <v>3</v>
      </c>
      <c r="H48" s="116">
        <v>1</v>
      </c>
      <c r="I48" s="111" t="str">
        <v>黄购物</v>
      </c>
      <c r="J48" s="116">
        <f>IF(路线!C6="计算",INT(60+17*路线!B15+11*路线!B39+40+20)-ROW()*1e-05,INT(60+17*路线!B15+11*路线!B39+40)-ROW()*1e-05)</f>
      </c>
      <c r="L48" s="1">
        <f>IF(AND(OR(E48=1,E48=0),G48=1),D48,"")</f>
      </c>
      <c r="M48" s="1">
        <f>IF(AND(OR(E48=2,E48=0),G48=1),D48,"")</f>
      </c>
      <c r="N48" s="1">
        <f>IF(AND(OR(E48=3,E48=0),G48=1),D48,"")</f>
      </c>
      <c r="O48" s="1">
        <f>IF(AND(OR(E48=1,E48=0),G48=2),D48,"")</f>
      </c>
      <c r="P48" s="1">
        <f>IF(AND(OR(E48=2,E48=0),G48=2),D48,"")</f>
      </c>
      <c r="Q48" s="1">
        <f>IF(AND(OR(E48=3,E48=0),G48=2),D48,"")</f>
      </c>
      <c r="R48" s="1">
        <f>IF(AND(OR(E48=1,E48=0),G48=3),D48,"")</f>
      </c>
      <c r="S48" s="1">
        <f>IF(AND(OR(E48=2,E48=0),G48=3),D48,"")</f>
      </c>
      <c r="T48" s="1">
        <f>IF(AND(OR(E48=3,E48=0),G48=3),D48,"")</f>
      </c>
      <c r="U48" s="1">
        <f>IF(AND(OR(E48=1,E48=0),G48=1,F48=1),D48,"")</f>
      </c>
      <c r="V48" s="1">
        <f>IF(AND(OR(E48=1,E48=0),G48=2,F48=1),D48,"")</f>
      </c>
      <c r="W48" s="1">
        <f>IF(AND(OR(E48=1,E48=0),G48=3,F48=1),D48,"")</f>
      </c>
      <c r="X48" s="1">
        <f>IF(AND(OR(E48=2,E48=0),G48=1,F48=1),D48,"")</f>
      </c>
      <c r="Y48" s="1">
        <f>IF(AND(OR(E48=2,E48=0),G48=2,F48=1),D48,"")</f>
      </c>
      <c r="Z48" s="1">
        <f>IF(AND(OR(E48=2,E48=0),G48=3,F48=1),D48,"")</f>
      </c>
      <c r="AA48" s="1">
        <f>IF(AND(OR(E48=3,E48=0),G48=1,F48=1),D48,"")</f>
      </c>
      <c r="AB48" s="1">
        <f>IF(AND(OR(E48=3,E48=0),G48=2,F48=1),D48,"")</f>
      </c>
      <c r="AC48" s="1">
        <f>IF(AND(OR(E48=3,E48=0),G48=3,F48=1),D48,"")</f>
      </c>
      <c r="AD48" s="1">
        <f>IF(AND(OR(E48=1,E48=0),G48=1,F48=0),J48,"")</f>
      </c>
      <c r="AE48" s="1">
        <f>IF(AND(OR(E48=1,E48=0),G48=2,F48=0),J48,"")</f>
      </c>
      <c r="AF48" s="1">
        <f>IF(AND(OR(E48=1,E48=0),G48=3,F48=0),J48,"")</f>
      </c>
      <c r="AG48" s="1">
        <f>IF(AND(OR(E48=1,E48=0),G48=1,F48=1),J48,"")</f>
      </c>
      <c r="AH48" s="1">
        <f>IF(AND(OR(E48=1,E48=0),G48=2,F48=1),J48,"")</f>
      </c>
      <c r="AI48" s="1">
        <f>IF(AND(OR(E48=1,E48=0),G48=3,F48=1),J48,"")</f>
      </c>
      <c r="AJ48" s="1">
        <f>IF(AND(OR(E48=2,E48=0),G48=1,F48=0),J48,"")</f>
      </c>
      <c r="AK48" s="1">
        <f>IF(AND(OR(E48=2,E48=0),G48=2,F48=0),J48,"")</f>
      </c>
      <c r="AL48" s="1">
        <f>IF(AND(OR(E48=2,E48=0),G48=3,F48=0),J48,"")</f>
      </c>
      <c r="AM48" s="1">
        <f>IF(AND(OR(E48=2,E48=0),G48=1,F48=1),J48,"")</f>
      </c>
      <c r="AN48" s="1">
        <f>IF(AND(OR(E48=2,E48=0),G48=2,F48=1),J48,"")</f>
      </c>
      <c r="AO48" s="1">
        <f>IF(AND(OR(E48=2,E48=0),G48=3,F48=1),J48,"")</f>
      </c>
      <c r="AP48" s="1">
        <f>IF(AND(OR(E48=3,E48=0),G48=1,F48=0),J48,"")</f>
      </c>
      <c r="AQ48" s="1">
        <f>IF(AND(OR(E48=3,E48=0),G48=2,F48=0),J48,"")</f>
      </c>
      <c r="AR48" s="1">
        <f>IF(AND(OR(E48=3,E48=0),G48=3,F48=0),J48,"")</f>
      </c>
      <c r="AS48" s="1">
        <f>IF(AND(OR(E48=3,E48=0),G48=1,F48=1),J48,"")</f>
      </c>
      <c r="AT48" s="1">
        <f>IF(AND(OR(E48=3,E48=0),G48=2,F48=1),J48,"")</f>
      </c>
      <c r="AU48" s="1">
        <f>IF(AND(OR(E48=3,E48=0),G48=3,F48=1),J48,"")</f>
      </c>
    </row>
    <row customHeight="true" ht="19" r="49">
      <c r="A49" s="99" t="str">
        <v>ふわふわなお面？（小熊）</v>
      </c>
      <c r="B49" s="99" t="str"/>
      <c r="C49" s="99" t="str"/>
      <c r="D49" s="116">
        <f>持有情况!AT40-ROW()*1e-05</f>
      </c>
      <c r="E49" s="117">
        <v>0</v>
      </c>
      <c r="F49" s="116">
        <v>1</v>
      </c>
      <c r="G49" s="116">
        <v>2</v>
      </c>
      <c r="H49" s="117">
        <v>0</v>
      </c>
      <c r="I49" s="1" t="str"/>
      <c r="J49" s="116">
        <f>INT(45+10*路线!B31+13*路线!B15+30)-ROW()*1e-05</f>
      </c>
      <c r="L49" s="1">
        <f>IF(AND(OR(E49=1,E49=0),G49=1),D49,"")</f>
      </c>
      <c r="M49" s="1">
        <f>IF(AND(OR(E49=2,E49=0),G49=1),D49,"")</f>
      </c>
      <c r="N49" s="1">
        <f>IF(AND(OR(E49=3,E49=0),G49=1),D49,"")</f>
      </c>
      <c r="O49" s="1">
        <f>IF(AND(OR(E49=1,E49=0),G49=2),D49,"")</f>
      </c>
      <c r="P49" s="1">
        <f>IF(AND(OR(E49=2,E49=0),G49=2),D49,"")</f>
      </c>
      <c r="Q49" s="1">
        <f>IF(AND(OR(E49=3,E49=0),G49=2),D49,"")</f>
      </c>
      <c r="R49" s="1">
        <f>IF(AND(OR(E49=1,E49=0),G49=3),D49,"")</f>
      </c>
      <c r="S49" s="1">
        <f>IF(AND(OR(E49=2,E49=0),G49=3),D49,"")</f>
      </c>
      <c r="T49" s="1">
        <f>IF(AND(OR(E49=3,E49=0),G49=3),D49,"")</f>
      </c>
      <c r="U49" s="1">
        <f>IF(AND(OR(E49=1,E49=0),G49=1,F49=1),D49,"")</f>
      </c>
      <c r="V49" s="1">
        <f>IF(AND(OR(E49=1,E49=0),G49=2,F49=1),D49,"")</f>
      </c>
      <c r="W49" s="1">
        <f>IF(AND(OR(E49=1,E49=0),G49=3,F49=1),D49,"")</f>
      </c>
      <c r="X49" s="1">
        <f>IF(AND(OR(E49=2,E49=0),G49=1,F49=1),D49,"")</f>
      </c>
      <c r="Y49" s="1">
        <f>IF(AND(OR(E49=2,E49=0),G49=2,F49=1),D49,"")</f>
      </c>
      <c r="Z49" s="1">
        <f>IF(AND(OR(E49=2,E49=0),G49=3,F49=1),D49,"")</f>
      </c>
      <c r="AA49" s="1">
        <f>IF(AND(OR(E49=3,E49=0),G49=1,F49=1),D49,"")</f>
      </c>
      <c r="AB49" s="1">
        <f>IF(AND(OR(E49=3,E49=0),G49=2,F49=1),D49,"")</f>
      </c>
      <c r="AC49" s="1">
        <f>IF(AND(OR(E49=3,E49=0),G49=3,F49=1),D49,"")</f>
      </c>
      <c r="AD49" s="1">
        <f>IF(AND(OR(E49=1,E49=0),G49=1,F49=0),J49,"")</f>
      </c>
      <c r="AE49" s="1">
        <f>IF(AND(OR(E49=1,E49=0),G49=2,F49=0),J49,"")</f>
      </c>
      <c r="AF49" s="1">
        <f>IF(AND(OR(E49=1,E49=0),G49=3,F49=0),J49,"")</f>
      </c>
      <c r="AG49" s="1">
        <f>IF(AND(OR(E49=1,E49=0),G49=1,F49=1),J49,"")</f>
      </c>
      <c r="AH49" s="1">
        <f>IF(AND(OR(E49=1,E49=0),G49=2,F49=1),J49,"")</f>
      </c>
      <c r="AI49" s="1">
        <f>IF(AND(OR(E49=1,E49=0),G49=3,F49=1),J49,"")</f>
      </c>
      <c r="AJ49" s="1">
        <f>IF(AND(OR(E49=2,E49=0),G49=1,F49=0),J49,"")</f>
      </c>
      <c r="AK49" s="1">
        <f>IF(AND(OR(E49=2,E49=0),G49=2,F49=0),J49,"")</f>
      </c>
      <c r="AL49" s="1">
        <f>IF(AND(OR(E49=2,E49=0),G49=3,F49=0),J49,"")</f>
      </c>
      <c r="AM49" s="1">
        <f>IF(AND(OR(E49=2,E49=0),G49=1,F49=1),J49,"")</f>
      </c>
      <c r="AN49" s="1">
        <f>IF(AND(OR(E49=2,E49=0),G49=2,F49=1),J49,"")</f>
      </c>
      <c r="AO49" s="1">
        <f>IF(AND(OR(E49=2,E49=0),G49=3,F49=1),J49,"")</f>
      </c>
      <c r="AP49" s="1">
        <f>IF(AND(OR(E49=3,E49=0),G49=1,F49=0),J49,"")</f>
      </c>
      <c r="AQ49" s="1">
        <f>IF(AND(OR(E49=3,E49=0),G49=2,F49=0),J49,"")</f>
      </c>
      <c r="AR49" s="1">
        <f>IF(AND(OR(E49=3,E49=0),G49=3,F49=0),J49,"")</f>
      </c>
      <c r="AS49" s="1">
        <f>IF(AND(OR(E49=3,E49=0),G49=1,F49=1),J49,"")</f>
      </c>
      <c r="AT49" s="1">
        <f>IF(AND(OR(E49=3,E49=0),G49=2,F49=1),J49,"")</f>
      </c>
      <c r="AU49" s="1">
        <f>IF(AND(OR(E49=3,E49=0),G49=3,F49=1),J49,"")</f>
      </c>
    </row>
    <row customHeight="true" ht="19" r="50">
      <c r="A50" s="86" t="str">
        <v>りっぱなすすき！（麦穗）</v>
      </c>
      <c r="B50" s="86" t="str"/>
      <c r="C50" s="86" t="str"/>
      <c r="D50" s="116">
        <f>持有情况!BD46-ROW()*1e-05</f>
      </c>
      <c r="E50" s="116">
        <v>2</v>
      </c>
      <c r="F50" s="117">
        <v>0</v>
      </c>
      <c r="G50" s="116">
        <v>3</v>
      </c>
      <c r="H50" s="117">
        <v>0</v>
      </c>
      <c r="I50" s="1" t="str"/>
      <c r="J50" s="116">
        <f>INT(45+10*路线!B31+11*路线!B34+13*路线!B15+30)-ROW()*1e-05</f>
      </c>
      <c r="L50" s="1">
        <f>IF(AND(OR(E50=1,E50=0),G50=1),D50,"")</f>
      </c>
      <c r="M50" s="1">
        <f>IF(AND(OR(E50=2,E50=0),G50=1),D50,"")</f>
      </c>
      <c r="N50" s="1">
        <f>IF(AND(OR(E50=3,E50=0),G50=1),D50,"")</f>
      </c>
      <c r="O50" s="1">
        <f>IF(AND(OR(E50=1,E50=0),G50=2),D50,"")</f>
      </c>
      <c r="P50" s="1">
        <f>IF(AND(OR(E50=2,E50=0),G50=2),D50,"")</f>
      </c>
      <c r="Q50" s="1">
        <f>IF(AND(OR(E50=3,E50=0),G50=2),D50,"")</f>
      </c>
      <c r="R50" s="1">
        <f>IF(AND(OR(E50=1,E50=0),G50=3),D50,"")</f>
      </c>
      <c r="S50" s="1">
        <f>IF(AND(OR(E50=2,E50=0),G50=3),D50,"")</f>
      </c>
      <c r="T50" s="1">
        <f>IF(AND(OR(E50=3,E50=0),G50=3),D50,"")</f>
      </c>
      <c r="U50" s="1">
        <f>IF(AND(OR(E50=1,E50=0),G50=1,F50=1),D50,"")</f>
      </c>
      <c r="V50" s="1">
        <f>IF(AND(OR(E50=1,E50=0),G50=2,F50=1),D50,"")</f>
      </c>
      <c r="W50" s="1">
        <f>IF(AND(OR(E50=1,E50=0),G50=3,F50=1),D50,"")</f>
      </c>
      <c r="X50" s="1">
        <f>IF(AND(OR(E50=2,E50=0),G50=1,F50=1),D50,"")</f>
      </c>
      <c r="Y50" s="1">
        <f>IF(AND(OR(E50=2,E50=0),G50=2,F50=1),D50,"")</f>
      </c>
      <c r="Z50" s="1">
        <f>IF(AND(OR(E50=2,E50=0),G50=3,F50=1),D50,"")</f>
      </c>
      <c r="AA50" s="1">
        <f>IF(AND(OR(E50=3,E50=0),G50=1,F50=1),D50,"")</f>
      </c>
      <c r="AB50" s="1">
        <f>IF(AND(OR(E50=3,E50=0),G50=2,F50=1),D50,"")</f>
      </c>
      <c r="AC50" s="1">
        <f>IF(AND(OR(E50=3,E50=0),G50=3,F50=1),D50,"")</f>
      </c>
      <c r="AD50" s="1">
        <f>IF(AND(OR(E50=1,E50=0),G50=1,F50=0),J50,"")</f>
      </c>
      <c r="AE50" s="1">
        <f>IF(AND(OR(E50=1,E50=0),G50=2,F50=0),J50,"")</f>
      </c>
      <c r="AF50" s="1">
        <f>IF(AND(OR(E50=1,E50=0),G50=3,F50=0),J50,"")</f>
      </c>
      <c r="AG50" s="1">
        <f>IF(AND(OR(E50=1,E50=0),G50=1,F50=1),J50,"")</f>
      </c>
      <c r="AH50" s="1">
        <f>IF(AND(OR(E50=1,E50=0),G50=2,F50=1),J50,"")</f>
      </c>
      <c r="AI50" s="1">
        <f>IF(AND(OR(E50=1,E50=0),G50=3,F50=1),J50,"")</f>
      </c>
      <c r="AJ50" s="1">
        <f>IF(AND(OR(E50=2,E50=0),G50=1,F50=0),J50,"")</f>
      </c>
      <c r="AK50" s="1">
        <f>IF(AND(OR(E50=2,E50=0),G50=2,F50=0),J50,"")</f>
      </c>
      <c r="AL50" s="1">
        <f>IF(AND(OR(E50=2,E50=0),G50=3,F50=0),J50,"")</f>
      </c>
      <c r="AM50" s="1">
        <f>IF(AND(OR(E50=2,E50=0),G50=1,F50=1),J50,"")</f>
      </c>
      <c r="AN50" s="1">
        <f>IF(AND(OR(E50=2,E50=0),G50=2,F50=1),J50,"")</f>
      </c>
      <c r="AO50" s="1">
        <f>IF(AND(OR(E50=2,E50=0),G50=3,F50=1),J50,"")</f>
      </c>
      <c r="AP50" s="1">
        <f>IF(AND(OR(E50=3,E50=0),G50=1,F50=0),J50,"")</f>
      </c>
      <c r="AQ50" s="1">
        <f>IF(AND(OR(E50=3,E50=0),G50=2,F50=0),J50,"")</f>
      </c>
      <c r="AR50" s="1">
        <f>IF(AND(OR(E50=3,E50=0),G50=3,F50=0),J50,"")</f>
      </c>
      <c r="AS50" s="1">
        <f>IF(AND(OR(E50=3,E50=0),G50=1,F50=1),J50,"")</f>
      </c>
      <c r="AT50" s="1">
        <f>IF(AND(OR(E50=3,E50=0),G50=2,F50=1),J50,"")</f>
      </c>
      <c r="AU50" s="1">
        <f>IF(AND(OR(E50=3,E50=0),G50=3,F50=1),J50,"")</f>
      </c>
    </row>
    <row customHeight="true" ht="19" r="51">
      <c r="A51" s="75" t="str">
        <v>あら、奇遇ね（红过牌）</v>
      </c>
      <c r="B51" s="75" t="str"/>
      <c r="C51" s="75" t="str"/>
      <c r="D51" s="121">
        <f>持有情况!F4-ROW()*1e-05</f>
      </c>
      <c r="E51" s="117">
        <v>0</v>
      </c>
      <c r="F51" s="117">
        <v>0</v>
      </c>
      <c r="G51" s="116">
        <v>1</v>
      </c>
      <c r="H51" s="116">
        <v>1</v>
      </c>
      <c r="I51" s="111" t="str">
        <v>红过牌</v>
      </c>
      <c r="J51" s="116">
        <f>INT(60+6*路线!B14+7*路线!B30+40)-ROW()*1e-05</f>
      </c>
      <c r="L51" s="1">
        <f>IF(AND(OR(E51=1,E51=0),G51=1),D51,"")</f>
      </c>
      <c r="M51" s="1">
        <f>IF(AND(OR(E51=2,E51=0),G51=1),D51,"")</f>
      </c>
      <c r="N51" s="1">
        <f>IF(AND(OR(E51=3,E51=0),G51=1),D51,"")</f>
      </c>
      <c r="O51" s="1">
        <f>IF(AND(OR(E51=1,E51=0),G51=2),D51,"")</f>
      </c>
      <c r="P51" s="1">
        <f>IF(AND(OR(E51=2,E51=0),G51=2),D51,"")</f>
      </c>
      <c r="Q51" s="1">
        <f>IF(AND(OR(E51=3,E51=0),G51=2),D51,"")</f>
      </c>
      <c r="R51" s="1">
        <f>IF(AND(OR(E51=1,E51=0),G51=3),D51,"")</f>
      </c>
      <c r="S51" s="1">
        <f>IF(AND(OR(E51=2,E51=0),G51=3),D51,"")</f>
      </c>
      <c r="T51" s="1">
        <f>IF(AND(OR(E51=3,E51=0),G51=3),D51,"")</f>
      </c>
      <c r="U51" s="1">
        <f>IF(AND(OR(E51=1,E51=0),G51=1,F51=1),D51,"")</f>
      </c>
      <c r="V51" s="1">
        <f>IF(AND(OR(E51=1,E51=0),G51=2,F51=1),D51,"")</f>
      </c>
      <c r="W51" s="1">
        <f>IF(AND(OR(E51=1,E51=0),G51=3,F51=1),D51,"")</f>
      </c>
      <c r="X51" s="1">
        <f>IF(AND(OR(E51=2,E51=0),G51=1,F51=1),D51,"")</f>
      </c>
      <c r="Y51" s="1">
        <f>IF(AND(OR(E51=2,E51=0),G51=2,F51=1),D51,"")</f>
      </c>
      <c r="Z51" s="1">
        <f>IF(AND(OR(E51=2,E51=0),G51=3,F51=1),D51,"")</f>
      </c>
      <c r="AA51" s="1">
        <f>IF(AND(OR(E51=3,E51=0),G51=1,F51=1),D51,"")</f>
      </c>
      <c r="AB51" s="1">
        <f>IF(AND(OR(E51=3,E51=0),G51=2,F51=1),D51,"")</f>
      </c>
      <c r="AC51" s="1">
        <f>IF(AND(OR(E51=3,E51=0),G51=3,F51=1),D51,"")</f>
      </c>
      <c r="AD51" s="1">
        <f>IF(AND(OR(E51=1,E51=0),G51=1,F51=0),J51,"")</f>
      </c>
      <c r="AE51" s="1">
        <f>IF(AND(OR(E51=1,E51=0),G51=2,F51=0),J51,"")</f>
      </c>
      <c r="AF51" s="1">
        <f>IF(AND(OR(E51=1,E51=0),G51=3,F51=0),J51,"")</f>
      </c>
      <c r="AG51" s="1">
        <f>IF(AND(OR(E51=1,E51=0),G51=1,F51=1),J51,"")</f>
      </c>
      <c r="AH51" s="1">
        <f>IF(AND(OR(E51=1,E51=0),G51=2,F51=1),J51,"")</f>
      </c>
      <c r="AI51" s="1">
        <f>IF(AND(OR(E51=1,E51=0),G51=3,F51=1),J51,"")</f>
      </c>
      <c r="AJ51" s="1">
        <f>IF(AND(OR(E51=2,E51=0),G51=1,F51=0),J51,"")</f>
      </c>
      <c r="AK51" s="1">
        <f>IF(AND(OR(E51=2,E51=0),G51=2,F51=0),J51,"")</f>
      </c>
      <c r="AL51" s="1">
        <f>IF(AND(OR(E51=2,E51=0),G51=3,F51=0),J51,"")</f>
      </c>
      <c r="AM51" s="1">
        <f>IF(AND(OR(E51=2,E51=0),G51=1,F51=1),J51,"")</f>
      </c>
      <c r="AN51" s="1">
        <f>IF(AND(OR(E51=2,E51=0),G51=2,F51=1),J51,"")</f>
      </c>
      <c r="AO51" s="1">
        <f>IF(AND(OR(E51=2,E51=0),G51=3,F51=1),J51,"")</f>
      </c>
      <c r="AP51" s="1">
        <f>IF(AND(OR(E51=3,E51=0),G51=1,F51=0),J51,"")</f>
      </c>
      <c r="AQ51" s="1">
        <f>IF(AND(OR(E51=3,E51=0),G51=2,F51=0),J51,"")</f>
      </c>
      <c r="AR51" s="1">
        <f>IF(AND(OR(E51=3,E51=0),G51=3,F51=0),J51,"")</f>
      </c>
      <c r="AS51" s="1">
        <f>IF(AND(OR(E51=3,E51=0),G51=1,F51=1),J51,"")</f>
      </c>
      <c r="AT51" s="1">
        <f>IF(AND(OR(E51=3,E51=0),G51=2,F51=1),J51,"")</f>
      </c>
      <c r="AU51" s="1">
        <f>IF(AND(OR(E51=3,E51=0),G51=3,F51=1),J51,"")</f>
      </c>
    </row>
    <row customHeight="true" ht="19" r="52">
      <c r="A52" s="75" t="str">
        <v>まごころを込めて（巧可琴音）</v>
      </c>
      <c r="B52" s="75" t="str"/>
      <c r="C52" s="75" t="str"/>
      <c r="D52" s="116">
        <f>持有情况!AJ70-ROW()*1e-05</f>
      </c>
      <c r="E52" s="116">
        <v>2</v>
      </c>
      <c r="F52" s="117">
        <v>0</v>
      </c>
      <c r="G52" s="116">
        <v>1</v>
      </c>
      <c r="H52" s="116">
        <v>1</v>
      </c>
      <c r="I52" s="111" t="str">
        <v>巧可琴音</v>
      </c>
      <c r="J52" s="116">
        <f>IF(路线!C6="计算",INT((6.4/100)*路线!B11+5*路线!B30+10*路线!B31+30+20)-ROW()*1e-05,INT((6.4/100)*路线!B11+5*路线!B30+10*路线!B31+30)-ROW()*1e-05)</f>
      </c>
      <c r="L52" s="1">
        <f>IF(AND(OR(E52=1,E52=0),G52=1),D52,"")</f>
      </c>
      <c r="M52" s="1">
        <f>IF(AND(OR(E52=2,E52=0),G52=1),D52,"")</f>
      </c>
      <c r="N52" s="1">
        <f>IF(AND(OR(E52=3,E52=0),G52=1),D52,"")</f>
      </c>
      <c r="O52" s="1">
        <f>IF(AND(OR(E52=1,E52=0),G52=2),D52,"")</f>
      </c>
      <c r="P52" s="1">
        <f>IF(AND(OR(E52=2,E52=0),G52=2),D52,"")</f>
      </c>
      <c r="Q52" s="1">
        <f>IF(AND(OR(E52=3,E52=0),G52=2),D52,"")</f>
      </c>
      <c r="R52" s="1">
        <f>IF(AND(OR(E52=1,E52=0),G52=3),D52,"")</f>
      </c>
      <c r="S52" s="1">
        <f>IF(AND(OR(E52=2,E52=0),G52=3),D52,"")</f>
      </c>
      <c r="T52" s="1">
        <f>IF(AND(OR(E52=3,E52=0),G52=3),D52,"")</f>
      </c>
      <c r="U52" s="1">
        <f>IF(AND(OR(E52=1,E52=0),G52=1,F52=1),D52,"")</f>
      </c>
      <c r="V52" s="1">
        <f>IF(AND(OR(E52=1,E52=0),G52=2,F52=1),D52,"")</f>
      </c>
      <c r="W52" s="1">
        <f>IF(AND(OR(E52=1,E52=0),G52=3,F52=1),D52,"")</f>
      </c>
      <c r="X52" s="1">
        <f>IF(AND(OR(E52=2,E52=0),G52=1,F52=1),D52,"")</f>
      </c>
      <c r="Y52" s="1">
        <f>IF(AND(OR(E52=2,E52=0),G52=2,F52=1),D52,"")</f>
      </c>
      <c r="Z52" s="1">
        <f>IF(AND(OR(E52=2,E52=0),G52=3,F52=1),D52,"")</f>
      </c>
      <c r="AA52" s="1">
        <f>IF(AND(OR(E52=3,E52=0),G52=1,F52=1),D52,"")</f>
      </c>
      <c r="AB52" s="1">
        <f>IF(AND(OR(E52=3,E52=0),G52=2,F52=1),D52,"")</f>
      </c>
      <c r="AC52" s="1">
        <f>IF(AND(OR(E52=3,E52=0),G52=3,F52=1),D52,"")</f>
      </c>
      <c r="AD52" s="1">
        <f>IF(AND(OR(E52=1,E52=0),G52=1,F52=0),J52,"")</f>
      </c>
      <c r="AE52" s="1">
        <f>IF(AND(OR(E52=1,E52=0),G52=2,F52=0),J52,"")</f>
      </c>
      <c r="AF52" s="1">
        <f>IF(AND(OR(E52=1,E52=0),G52=3,F52=0),J52,"")</f>
      </c>
      <c r="AG52" s="1">
        <f>IF(AND(OR(E52=1,E52=0),G52=1,F52=1),J52,"")</f>
      </c>
      <c r="AH52" s="1">
        <f>IF(AND(OR(E52=1,E52=0),G52=2,F52=1),J52,"")</f>
      </c>
      <c r="AI52" s="1">
        <f>IF(AND(OR(E52=1,E52=0),G52=3,F52=1),J52,"")</f>
      </c>
      <c r="AJ52" s="1">
        <f>IF(AND(OR(E52=2,E52=0),G52=1,F52=0),J52,"")</f>
      </c>
      <c r="AK52" s="1">
        <f>IF(AND(OR(E52=2,E52=0),G52=2,F52=0),J52,"")</f>
      </c>
      <c r="AL52" s="1">
        <f>IF(AND(OR(E52=2,E52=0),G52=3,F52=0),J52,"")</f>
      </c>
      <c r="AM52" s="1">
        <f>IF(AND(OR(E52=2,E52=0),G52=1,F52=1),J52,"")</f>
      </c>
      <c r="AN52" s="1">
        <f>IF(AND(OR(E52=2,E52=0),G52=2,F52=1),J52,"")</f>
      </c>
      <c r="AO52" s="1">
        <f>IF(AND(OR(E52=2,E52=0),G52=3,F52=1),J52,"")</f>
      </c>
      <c r="AP52" s="1">
        <f>IF(AND(OR(E52=3,E52=0),G52=1,F52=0),J52,"")</f>
      </c>
      <c r="AQ52" s="1">
        <f>IF(AND(OR(E52=3,E52=0),G52=2,F52=0),J52,"")</f>
      </c>
      <c r="AR52" s="1">
        <f>IF(AND(OR(E52=3,E52=0),G52=3,F52=0),J52,"")</f>
      </c>
      <c r="AS52" s="1">
        <f>IF(AND(OR(E52=3,E52=0),G52=1,F52=1),J52,"")</f>
      </c>
      <c r="AT52" s="1">
        <f>IF(AND(OR(E52=3,E52=0),G52=2,F52=1),J52,"")</f>
      </c>
      <c r="AU52" s="1">
        <f>IF(AND(OR(E52=3,E52=0),G52=3,F52=1),J52,"")</f>
      </c>
    </row>
    <row customHeight="true" ht="19" r="53">
      <c r="A53" s="99" t="str">
        <v>そろそろ焼けたかな？（红薯）</v>
      </c>
      <c r="B53" s="99" t="str"/>
      <c r="C53" s="99" t="str"/>
      <c r="D53" s="116">
        <f>持有情况!P64-ROW()*1e-05</f>
      </c>
      <c r="E53" s="116">
        <v>2</v>
      </c>
      <c r="F53" s="116">
        <v>1</v>
      </c>
      <c r="G53" s="116">
        <v>2</v>
      </c>
      <c r="H53" s="116">
        <v>1</v>
      </c>
      <c r="I53" s="111" t="str">
        <v>红薯</v>
      </c>
      <c r="J53" s="116">
        <f>IF(路线!C6="计算",INT(60+17*路线!B15+17*路线!B34+40+20)-ROW()*1e-05,INT(60+17*路线!B15+17*路线!B34+40)-ROW()*1e-05)</f>
      </c>
      <c r="L53" s="1">
        <f>IF(AND(OR(E53=1,E53=0),G53=1),D53,"")</f>
      </c>
      <c r="M53" s="1">
        <f>IF(AND(OR(E53=2,E53=0),G53=1),D53,"")</f>
      </c>
      <c r="N53" s="1">
        <f>IF(AND(OR(E53=3,E53=0),G53=1),D53,"")</f>
      </c>
      <c r="O53" s="1">
        <f>IF(AND(OR(E53=1,E53=0),G53=2),D53,"")</f>
      </c>
      <c r="P53" s="1">
        <f>IF(AND(OR(E53=2,E53=0),G53=2),D53,"")</f>
      </c>
      <c r="Q53" s="1">
        <f>IF(AND(OR(E53=3,E53=0),G53=2),D53,"")</f>
      </c>
      <c r="R53" s="1">
        <f>IF(AND(OR(E53=1,E53=0),G53=3),D53,"")</f>
      </c>
      <c r="S53" s="1">
        <f>IF(AND(OR(E53=2,E53=0),G53=3),D53,"")</f>
      </c>
      <c r="T53" s="1">
        <f>IF(AND(OR(E53=3,E53=0),G53=3),D53,"")</f>
      </c>
      <c r="U53" s="1">
        <f>IF(AND(OR(E53=1,E53=0),G53=1,F53=1),D53,"")</f>
      </c>
      <c r="V53" s="1">
        <f>IF(AND(OR(E53=1,E53=0),G53=2,F53=1),D53,"")</f>
      </c>
      <c r="W53" s="1">
        <f>IF(AND(OR(E53=1,E53=0),G53=3,F53=1),D53,"")</f>
      </c>
      <c r="X53" s="1">
        <f>IF(AND(OR(E53=2,E53=0),G53=1,F53=1),D53,"")</f>
      </c>
      <c r="Y53" s="1">
        <f>IF(AND(OR(E53=2,E53=0),G53=2,F53=1),D53,"")</f>
      </c>
      <c r="Z53" s="1">
        <f>IF(AND(OR(E53=2,E53=0),G53=3,F53=1),D53,"")</f>
      </c>
      <c r="AA53" s="1">
        <f>IF(AND(OR(E53=3,E53=0),G53=1,F53=1),D53,"")</f>
      </c>
      <c r="AB53" s="1">
        <f>IF(AND(OR(E53=3,E53=0),G53=2,F53=1),D53,"")</f>
      </c>
      <c r="AC53" s="1">
        <f>IF(AND(OR(E53=3,E53=0),G53=3,F53=1),D53,"")</f>
      </c>
      <c r="AD53" s="1">
        <f>IF(AND(OR(E53=1,E53=0),G53=1,F53=0),J53,"")</f>
      </c>
      <c r="AE53" s="1">
        <f>IF(AND(OR(E53=1,E53=0),G53=2,F53=0),J53,"")</f>
      </c>
      <c r="AF53" s="1">
        <f>IF(AND(OR(E53=1,E53=0),G53=3,F53=0),J53,"")</f>
      </c>
      <c r="AG53" s="1">
        <f>IF(AND(OR(E53=1,E53=0),G53=1,F53=1),J53,"")</f>
      </c>
      <c r="AH53" s="1">
        <f>IF(AND(OR(E53=1,E53=0),G53=2,F53=1),J53,"")</f>
      </c>
      <c r="AI53" s="1">
        <f>IF(AND(OR(E53=1,E53=0),G53=3,F53=1),J53,"")</f>
      </c>
      <c r="AJ53" s="1">
        <f>IF(AND(OR(E53=2,E53=0),G53=1,F53=0),J53,"")</f>
      </c>
      <c r="AK53" s="1">
        <f>IF(AND(OR(E53=2,E53=0),G53=2,F53=0),J53,"")</f>
      </c>
      <c r="AL53" s="1">
        <f>IF(AND(OR(E53=2,E53=0),G53=3,F53=0),J53,"")</f>
      </c>
      <c r="AM53" s="1">
        <f>IF(AND(OR(E53=2,E53=0),G53=1,F53=1),J53,"")</f>
      </c>
      <c r="AN53" s="1">
        <f>IF(AND(OR(E53=2,E53=0),G53=2,F53=1),J53,"")</f>
      </c>
      <c r="AO53" s="1">
        <f>IF(AND(OR(E53=2,E53=0),G53=3,F53=1),J53,"")</f>
      </c>
      <c r="AP53" s="1">
        <f>IF(AND(OR(E53=3,E53=0),G53=1,F53=0),J53,"")</f>
      </c>
      <c r="AQ53" s="1">
        <f>IF(AND(OR(E53=3,E53=0),G53=2,F53=0),J53,"")</f>
      </c>
      <c r="AR53" s="1">
        <f>IF(AND(OR(E53=3,E53=0),G53=3,F53=0),J53,"")</f>
      </c>
      <c r="AS53" s="1">
        <f>IF(AND(OR(E53=3,E53=0),G53=1,F53=1),J53,"")</f>
      </c>
      <c r="AT53" s="1">
        <f>IF(AND(OR(E53=3,E53=0),G53=2,F53=1),J53,"")</f>
      </c>
      <c r="AU53" s="1">
        <f>IF(AND(OR(E53=3,E53=0),G53=3,F53=1),J53,"")</f>
      </c>
    </row>
    <row customHeight="true" ht="19" r="54">
      <c r="A54" s="99" t="str">
        <v>トンボをつかまえて（小秋见）</v>
      </c>
      <c r="B54" s="99" t="str"/>
      <c r="C54" s="99" t="str"/>
      <c r="D54" s="116">
        <f>持有情况!AT58-ROW()*1e-05</f>
      </c>
      <c r="E54" s="116">
        <v>1</v>
      </c>
      <c r="F54" s="117">
        <v>0</v>
      </c>
      <c r="G54" s="116">
        <v>2</v>
      </c>
      <c r="H54" s="116">
        <v>1</v>
      </c>
      <c r="I54" s="111" t="str">
        <v>小秋见</v>
      </c>
      <c r="J54" s="116">
        <f>INT((6.4/100)*路线!B11+3*(路线!B28+路线!B29)+17+13*路线!B15+30)-ROW()*1e-05</f>
      </c>
      <c r="L54" s="1">
        <f>IF(AND(OR(E54=1,E54=0),G54=1),D54,"")</f>
      </c>
      <c r="M54" s="1">
        <f>IF(AND(OR(E54=2,E54=0),G54=1),D54,"")</f>
      </c>
      <c r="N54" s="1">
        <f>IF(AND(OR(E54=3,E54=0),G54=1),D54,"")</f>
      </c>
      <c r="O54" s="1">
        <f>IF(AND(OR(E54=1,E54=0),G54=2),D54,"")</f>
      </c>
      <c r="P54" s="1">
        <f>IF(AND(OR(E54=2,E54=0),G54=2),D54,"")</f>
      </c>
      <c r="Q54" s="1">
        <f>IF(AND(OR(E54=3,E54=0),G54=2),D54,"")</f>
      </c>
      <c r="R54" s="1">
        <f>IF(AND(OR(E54=1,E54=0),G54=3),D54,"")</f>
      </c>
      <c r="S54" s="1">
        <f>IF(AND(OR(E54=2,E54=0),G54=3),D54,"")</f>
      </c>
      <c r="T54" s="1">
        <f>IF(AND(OR(E54=3,E54=0),G54=3),D54,"")</f>
      </c>
      <c r="U54" s="1">
        <f>IF(AND(OR(E54=1,E54=0),G54=1,F54=1),D54,"")</f>
      </c>
      <c r="V54" s="1">
        <f>IF(AND(OR(E54=1,E54=0),G54=2,F54=1),D54,"")</f>
      </c>
      <c r="W54" s="1">
        <f>IF(AND(OR(E54=1,E54=0),G54=3,F54=1),D54,"")</f>
      </c>
      <c r="X54" s="1">
        <f>IF(AND(OR(E54=2,E54=0),G54=1,F54=1),D54,"")</f>
      </c>
      <c r="Y54" s="1">
        <f>IF(AND(OR(E54=2,E54=0),G54=2,F54=1),D54,"")</f>
      </c>
      <c r="Z54" s="1">
        <f>IF(AND(OR(E54=2,E54=0),G54=3,F54=1),D54,"")</f>
      </c>
      <c r="AA54" s="1">
        <f>IF(AND(OR(E54=3,E54=0),G54=1,F54=1),D54,"")</f>
      </c>
      <c r="AB54" s="1">
        <f>IF(AND(OR(E54=3,E54=0),G54=2,F54=1),D54,"")</f>
      </c>
      <c r="AC54" s="1">
        <f>IF(AND(OR(E54=3,E54=0),G54=3,F54=1),D54,"")</f>
      </c>
      <c r="AD54" s="1">
        <f>IF(AND(OR(E54=1,E54=0),G54=1,F54=0),J54,"")</f>
      </c>
      <c r="AE54" s="1">
        <f>IF(AND(OR(E54=1,E54=0),G54=2,F54=0),J54,"")</f>
      </c>
      <c r="AF54" s="1">
        <f>IF(AND(OR(E54=1,E54=0),G54=3,F54=0),J54,"")</f>
      </c>
      <c r="AG54" s="1">
        <f>IF(AND(OR(E54=1,E54=0),G54=1,F54=1),J54,"")</f>
      </c>
      <c r="AH54" s="1">
        <f>IF(AND(OR(E54=1,E54=0),G54=2,F54=1),J54,"")</f>
      </c>
      <c r="AI54" s="1">
        <f>IF(AND(OR(E54=1,E54=0),G54=3,F54=1),J54,"")</f>
      </c>
      <c r="AJ54" s="1">
        <f>IF(AND(OR(E54=2,E54=0),G54=1,F54=0),J54,"")</f>
      </c>
      <c r="AK54" s="1">
        <f>IF(AND(OR(E54=2,E54=0),G54=2,F54=0),J54,"")</f>
      </c>
      <c r="AL54" s="1">
        <f>IF(AND(OR(E54=2,E54=0),G54=3,F54=0),J54,"")</f>
      </c>
      <c r="AM54" s="1">
        <f>IF(AND(OR(E54=2,E54=0),G54=1,F54=1),J54,"")</f>
      </c>
      <c r="AN54" s="1">
        <f>IF(AND(OR(E54=2,E54=0),G54=2,F54=1),J54,"")</f>
      </c>
      <c r="AO54" s="1">
        <f>IF(AND(OR(E54=2,E54=0),G54=3,F54=1),J54,"")</f>
      </c>
      <c r="AP54" s="1">
        <f>IF(AND(OR(E54=3,E54=0),G54=1,F54=0),J54,"")</f>
      </c>
      <c r="AQ54" s="1">
        <f>IF(AND(OR(E54=3,E54=0),G54=2,F54=0),J54,"")</f>
      </c>
      <c r="AR54" s="1">
        <f>IF(AND(OR(E54=3,E54=0),G54=3,F54=0),J54,"")</f>
      </c>
      <c r="AS54" s="1">
        <f>IF(AND(OR(E54=3,E54=0),G54=1,F54=1),J54,"")</f>
      </c>
      <c r="AT54" s="1">
        <f>IF(AND(OR(E54=3,E54=0),G54=2,F54=1),J54,"")</f>
      </c>
      <c r="AU54" s="1">
        <f>IF(AND(OR(E54=3,E54=0),G54=3,F54=1),J54,"")</f>
      </c>
    </row>
    <row customHeight="true" ht="19" r="55">
      <c r="A55" s="75" t="str">
        <v>屈辱の2位（马给马给）</v>
      </c>
      <c r="B55" s="75" t="str"/>
      <c r="C55" s="75" t="str"/>
      <c r="D55" s="116">
        <f>持有情况!AJ76-ROW()*1e-05</f>
      </c>
      <c r="E55" s="116">
        <v>2</v>
      </c>
      <c r="F55" s="117">
        <v>0</v>
      </c>
      <c r="G55" s="116">
        <v>1</v>
      </c>
      <c r="H55" s="117">
        <v>0</v>
      </c>
      <c r="I55" s="1" t="str"/>
      <c r="J55" s="116">
        <f>INT(45+10*路线!B31+8*路线!B35+17+30)-ROW()*1e-05</f>
      </c>
      <c r="L55" s="1">
        <f>IF(AND(OR(E55=1,E55=0),G55=1),D55,"")</f>
      </c>
      <c r="M55" s="1">
        <f>IF(AND(OR(E55=2,E55=0),G55=1),D55,"")</f>
      </c>
      <c r="N55" s="1">
        <f>IF(AND(OR(E55=3,E55=0),G55=1),D55,"")</f>
      </c>
      <c r="O55" s="1">
        <f>IF(AND(OR(E55=1,E55=0),G55=2),D55,"")</f>
      </c>
      <c r="P55" s="1">
        <f>IF(AND(OR(E55=2,E55=0),G55=2),D55,"")</f>
      </c>
      <c r="Q55" s="1">
        <f>IF(AND(OR(E55=3,E55=0),G55=2),D55,"")</f>
      </c>
      <c r="R55" s="1">
        <f>IF(AND(OR(E55=1,E55=0),G55=3),D55,"")</f>
      </c>
      <c r="S55" s="1">
        <f>IF(AND(OR(E55=2,E55=0),G55=3),D55,"")</f>
      </c>
      <c r="T55" s="1">
        <f>IF(AND(OR(E55=3,E55=0),G55=3),D55,"")</f>
      </c>
      <c r="U55" s="1">
        <f>IF(AND(OR(E55=1,E55=0),G55=1,F55=1),D55,"")</f>
      </c>
      <c r="V55" s="1">
        <f>IF(AND(OR(E55=1,E55=0),G55=2,F55=1),D55,"")</f>
      </c>
      <c r="W55" s="1">
        <f>IF(AND(OR(E55=1,E55=0),G55=3,F55=1),D55,"")</f>
      </c>
      <c r="X55" s="1">
        <f>IF(AND(OR(E55=2,E55=0),G55=1,F55=1),D55,"")</f>
      </c>
      <c r="Y55" s="1">
        <f>IF(AND(OR(E55=2,E55=0),G55=2,F55=1),D55,"")</f>
      </c>
      <c r="Z55" s="1">
        <f>IF(AND(OR(E55=2,E55=0),G55=3,F55=1),D55,"")</f>
      </c>
      <c r="AA55" s="1">
        <f>IF(AND(OR(E55=3,E55=0),G55=1,F55=1),D55,"")</f>
      </c>
      <c r="AB55" s="1">
        <f>IF(AND(OR(E55=3,E55=0),G55=2,F55=1),D55,"")</f>
      </c>
      <c r="AC55" s="1">
        <f>IF(AND(OR(E55=3,E55=0),G55=3,F55=1),D55,"")</f>
      </c>
      <c r="AD55" s="1">
        <f>IF(AND(OR(E55=1,E55=0),G55=1,F55=0),J55,"")</f>
      </c>
      <c r="AE55" s="1">
        <f>IF(AND(OR(E55=1,E55=0),G55=2,F55=0),J55,"")</f>
      </c>
      <c r="AF55" s="1">
        <f>IF(AND(OR(E55=1,E55=0),G55=3,F55=0),J55,"")</f>
      </c>
      <c r="AG55" s="1">
        <f>IF(AND(OR(E55=1,E55=0),G55=1,F55=1),J55,"")</f>
      </c>
      <c r="AH55" s="1">
        <f>IF(AND(OR(E55=1,E55=0),G55=2,F55=1),J55,"")</f>
      </c>
      <c r="AI55" s="1">
        <f>IF(AND(OR(E55=1,E55=0),G55=3,F55=1),J55,"")</f>
      </c>
      <c r="AJ55" s="1">
        <f>IF(AND(OR(E55=2,E55=0),G55=1,F55=0),J55,"")</f>
      </c>
      <c r="AK55" s="1">
        <f>IF(AND(OR(E55=2,E55=0),G55=2,F55=0),J55,"")</f>
      </c>
      <c r="AL55" s="1">
        <f>IF(AND(OR(E55=2,E55=0),G55=3,F55=0),J55,"")</f>
      </c>
      <c r="AM55" s="1">
        <f>IF(AND(OR(E55=2,E55=0),G55=1,F55=1),J55,"")</f>
      </c>
      <c r="AN55" s="1">
        <f>IF(AND(OR(E55=2,E55=0),G55=2,F55=1),J55,"")</f>
      </c>
      <c r="AO55" s="1">
        <f>IF(AND(OR(E55=2,E55=0),G55=3,F55=1),J55,"")</f>
      </c>
      <c r="AP55" s="1">
        <f>IF(AND(OR(E55=3,E55=0),G55=1,F55=0),J55,"")</f>
      </c>
      <c r="AQ55" s="1">
        <f>IF(AND(OR(E55=3,E55=0),G55=2,F55=0),J55,"")</f>
      </c>
      <c r="AR55" s="1">
        <f>IF(AND(OR(E55=3,E55=0),G55=3,F55=0),J55,"")</f>
      </c>
      <c r="AS55" s="1">
        <f>IF(AND(OR(E55=3,E55=0),G55=1,F55=1),J55,"")</f>
      </c>
      <c r="AT55" s="1">
        <f>IF(AND(OR(E55=3,E55=0),G55=2,F55=1),J55,"")</f>
      </c>
      <c r="AU55" s="1">
        <f>IF(AND(OR(E55=3,E55=0),G55=3,F55=1),J55,"")</f>
      </c>
    </row>
    <row customHeight="true" ht="19" r="56">
      <c r="A56" s="86" t="str">
        <v>虫愛づる王子様（虫爱）</v>
      </c>
      <c r="B56" s="86" t="str"/>
      <c r="C56" s="86" t="str"/>
      <c r="D56" s="116">
        <f>持有情况!BD76-ROW()*1e-05</f>
      </c>
      <c r="E56" s="116">
        <v>3</v>
      </c>
      <c r="F56" s="117">
        <v>0</v>
      </c>
      <c r="G56" s="116">
        <v>3</v>
      </c>
      <c r="H56" s="116">
        <v>1</v>
      </c>
      <c r="I56" s="111" t="str">
        <v>虫爱</v>
      </c>
      <c r="J56" s="116">
        <f>IF(路线!C6="计算",INT(45+3*(路线!B28+路线!B29)+8*路线!B35+10*路线!B31+30+20)-ROW()*1e-05,INT(45+3*(路线!B28+路线!B29)+8*路线!B35+10*路线!B31+30)-ROW()*1e-05)</f>
      </c>
      <c r="L56" s="1">
        <f>IF(AND(OR(E56=1,E56=0),G56=1),D56,"")</f>
      </c>
      <c r="M56" s="1">
        <f>IF(AND(OR(E56=2,E56=0),G56=1),D56,"")</f>
      </c>
      <c r="N56" s="1">
        <f>IF(AND(OR(E56=3,E56=0),G56=1),D56,"")</f>
      </c>
      <c r="O56" s="1">
        <f>IF(AND(OR(E56=1,E56=0),G56=2),D56,"")</f>
      </c>
      <c r="P56" s="1">
        <f>IF(AND(OR(E56=2,E56=0),G56=2),D56,"")</f>
      </c>
      <c r="Q56" s="1">
        <f>IF(AND(OR(E56=3,E56=0),G56=2),D56,"")</f>
      </c>
      <c r="R56" s="1">
        <f>IF(AND(OR(E56=1,E56=0),G56=3),D56,"")</f>
      </c>
      <c r="S56" s="1">
        <f>IF(AND(OR(E56=2,E56=0),G56=3),D56,"")</f>
      </c>
      <c r="T56" s="1">
        <f>IF(AND(OR(E56=3,E56=0),G56=3),D56,"")</f>
      </c>
      <c r="U56" s="1">
        <f>IF(AND(OR(E56=1,E56=0),G56=1,F56=1),D56,"")</f>
      </c>
      <c r="V56" s="1">
        <f>IF(AND(OR(E56=1,E56=0),G56=2,F56=1),D56,"")</f>
      </c>
      <c r="W56" s="1">
        <f>IF(AND(OR(E56=1,E56=0),G56=3,F56=1),D56,"")</f>
      </c>
      <c r="X56" s="1">
        <f>IF(AND(OR(E56=2,E56=0),G56=1,F56=1),D56,"")</f>
      </c>
      <c r="Y56" s="1">
        <f>IF(AND(OR(E56=2,E56=0),G56=2,F56=1),D56,"")</f>
      </c>
      <c r="Z56" s="1">
        <f>IF(AND(OR(E56=2,E56=0),G56=3,F56=1),D56,"")</f>
      </c>
      <c r="AA56" s="1">
        <f>IF(AND(OR(E56=3,E56=0),G56=1,F56=1),D56,"")</f>
      </c>
      <c r="AB56" s="1">
        <f>IF(AND(OR(E56=3,E56=0),G56=2,F56=1),D56,"")</f>
      </c>
      <c r="AC56" s="1">
        <f>IF(AND(OR(E56=3,E56=0),G56=3,F56=1),D56,"")</f>
      </c>
      <c r="AD56" s="1">
        <f>IF(AND(OR(E56=1,E56=0),G56=1,F56=0),J56,"")</f>
      </c>
      <c r="AE56" s="1">
        <f>IF(AND(OR(E56=1,E56=0),G56=2,F56=0),J56,"")</f>
      </c>
      <c r="AF56" s="1">
        <f>IF(AND(OR(E56=1,E56=0),G56=3,F56=0),J56,"")</f>
      </c>
      <c r="AG56" s="1">
        <f>IF(AND(OR(E56=1,E56=0),G56=1,F56=1),J56,"")</f>
      </c>
      <c r="AH56" s="1">
        <f>IF(AND(OR(E56=1,E56=0),G56=2,F56=1),J56,"")</f>
      </c>
      <c r="AI56" s="1">
        <f>IF(AND(OR(E56=1,E56=0),G56=3,F56=1),J56,"")</f>
      </c>
      <c r="AJ56" s="1">
        <f>IF(AND(OR(E56=2,E56=0),G56=1,F56=0),J56,"")</f>
      </c>
      <c r="AK56" s="1">
        <f>IF(AND(OR(E56=2,E56=0),G56=2,F56=0),J56,"")</f>
      </c>
      <c r="AL56" s="1">
        <f>IF(AND(OR(E56=2,E56=0),G56=3,F56=0),J56,"")</f>
      </c>
      <c r="AM56" s="1">
        <f>IF(AND(OR(E56=2,E56=0),G56=1,F56=1),J56,"")</f>
      </c>
      <c r="AN56" s="1">
        <f>IF(AND(OR(E56=2,E56=0),G56=2,F56=1),J56,"")</f>
      </c>
      <c r="AO56" s="1">
        <f>IF(AND(OR(E56=2,E56=0),G56=3,F56=1),J56,"")</f>
      </c>
      <c r="AP56" s="1">
        <f>IF(AND(OR(E56=3,E56=0),G56=1,F56=0),J56,"")</f>
      </c>
      <c r="AQ56" s="1">
        <f>IF(AND(OR(E56=3,E56=0),G56=2,F56=0),J56,"")</f>
      </c>
      <c r="AR56" s="1">
        <f>IF(AND(OR(E56=3,E56=0),G56=3,F56=0),J56,"")</f>
      </c>
      <c r="AS56" s="1">
        <f>IF(AND(OR(E56=3,E56=0),G56=1,F56=1),J56,"")</f>
      </c>
      <c r="AT56" s="1">
        <f>IF(AND(OR(E56=3,E56=0),G56=2,F56=1),J56,"")</f>
      </c>
      <c r="AU56" s="1">
        <f>IF(AND(OR(E56=3,E56=0),G56=3,F56=1),J56,"")</f>
      </c>
    </row>
    <row customHeight="true" ht="19" r="57">
      <c r="A57" s="75" t="str">
        <v>興味深い飲み物（姐汁）</v>
      </c>
      <c r="B57" s="75" t="str"/>
      <c r="C57" s="75" t="str"/>
      <c r="D57" s="116">
        <f>持有情况!AJ58-ROW()*1e-05</f>
      </c>
      <c r="E57" s="116">
        <v>1</v>
      </c>
      <c r="F57" s="116">
        <v>1</v>
      </c>
      <c r="G57" s="116">
        <v>1</v>
      </c>
      <c r="H57" s="116">
        <v>1</v>
      </c>
      <c r="I57" s="111" t="str">
        <v>姐汁</v>
      </c>
      <c r="J57" s="116">
        <f>IF(路线!C6="计算",INT(45+5*路线!B30+13*路线!B15+30+20)-ROW()*1e-05,INT(45+5*路线!B30+13*路线!B15+30)-ROW()*1e-05)</f>
      </c>
      <c r="L57" s="1">
        <f>IF(AND(OR(E57=1,E57=0),G57=1),D57,"")</f>
      </c>
      <c r="M57" s="1">
        <f>IF(AND(OR(E57=2,E57=0),G57=1),D57,"")</f>
      </c>
      <c r="N57" s="1">
        <f>IF(AND(OR(E57=3,E57=0),G57=1),D57,"")</f>
      </c>
      <c r="O57" s="1">
        <f>IF(AND(OR(E57=1,E57=0),G57=2),D57,"")</f>
      </c>
      <c r="P57" s="1">
        <f>IF(AND(OR(E57=2,E57=0),G57=2),D57,"")</f>
      </c>
      <c r="Q57" s="1">
        <f>IF(AND(OR(E57=3,E57=0),G57=2),D57,"")</f>
      </c>
      <c r="R57" s="1">
        <f>IF(AND(OR(E57=1,E57=0),G57=3),D57,"")</f>
      </c>
      <c r="S57" s="1">
        <f>IF(AND(OR(E57=2,E57=0),G57=3),D57,"")</f>
      </c>
      <c r="T57" s="1">
        <f>IF(AND(OR(E57=3,E57=0),G57=3),D57,"")</f>
      </c>
      <c r="U57" s="1">
        <f>IF(AND(OR(E57=1,E57=0),G57=1,F57=1),D57,"")</f>
      </c>
      <c r="V57" s="1">
        <f>IF(AND(OR(E57=1,E57=0),G57=2,F57=1),D57,"")</f>
      </c>
      <c r="W57" s="1">
        <f>IF(AND(OR(E57=1,E57=0),G57=3,F57=1),D57,"")</f>
      </c>
      <c r="X57" s="1">
        <f>IF(AND(OR(E57=2,E57=0),G57=1,F57=1),D57,"")</f>
      </c>
      <c r="Y57" s="1">
        <f>IF(AND(OR(E57=2,E57=0),G57=2,F57=1),D57,"")</f>
      </c>
      <c r="Z57" s="1">
        <f>IF(AND(OR(E57=2,E57=0),G57=3,F57=1),D57,"")</f>
      </c>
      <c r="AA57" s="1">
        <f>IF(AND(OR(E57=3,E57=0),G57=1,F57=1),D57,"")</f>
      </c>
      <c r="AB57" s="1">
        <f>IF(AND(OR(E57=3,E57=0),G57=2,F57=1),D57,"")</f>
      </c>
      <c r="AC57" s="1">
        <f>IF(AND(OR(E57=3,E57=0),G57=3,F57=1),D57,"")</f>
      </c>
      <c r="AD57" s="1">
        <f>IF(AND(OR(E57=1,E57=0),G57=1,F57=0),J57,"")</f>
      </c>
      <c r="AE57" s="1">
        <f>IF(AND(OR(E57=1,E57=0),G57=2,F57=0),J57,"")</f>
      </c>
      <c r="AF57" s="1">
        <f>IF(AND(OR(E57=1,E57=0),G57=3,F57=0),J57,"")</f>
      </c>
      <c r="AG57" s="1">
        <f>IF(AND(OR(E57=1,E57=0),G57=1,F57=1),J57,"")</f>
      </c>
      <c r="AH57" s="1">
        <f>IF(AND(OR(E57=1,E57=0),G57=2,F57=1),J57,"")</f>
      </c>
      <c r="AI57" s="1">
        <f>IF(AND(OR(E57=1,E57=0),G57=3,F57=1),J57,"")</f>
      </c>
      <c r="AJ57" s="1">
        <f>IF(AND(OR(E57=2,E57=0),G57=1,F57=0),J57,"")</f>
      </c>
      <c r="AK57" s="1">
        <f>IF(AND(OR(E57=2,E57=0),G57=2,F57=0),J57,"")</f>
      </c>
      <c r="AL57" s="1">
        <f>IF(AND(OR(E57=2,E57=0),G57=3,F57=0),J57,"")</f>
      </c>
      <c r="AM57" s="1">
        <f>IF(AND(OR(E57=2,E57=0),G57=1,F57=1),J57,"")</f>
      </c>
      <c r="AN57" s="1">
        <f>IF(AND(OR(E57=2,E57=0),G57=2,F57=1),J57,"")</f>
      </c>
      <c r="AO57" s="1">
        <f>IF(AND(OR(E57=2,E57=0),G57=3,F57=1),J57,"")</f>
      </c>
      <c r="AP57" s="1">
        <f>IF(AND(OR(E57=3,E57=0),G57=1,F57=0),J57,"")</f>
      </c>
      <c r="AQ57" s="1">
        <f>IF(AND(OR(E57=3,E57=0),G57=2,F57=0),J57,"")</f>
      </c>
      <c r="AR57" s="1">
        <f>IF(AND(OR(E57=3,E57=0),G57=3,F57=0),J57,"")</f>
      </c>
      <c r="AS57" s="1">
        <f>IF(AND(OR(E57=3,E57=0),G57=1,F57=1),J57,"")</f>
      </c>
      <c r="AT57" s="1">
        <f>IF(AND(OR(E57=3,E57=0),G57=2,F57=1),J57,"")</f>
      </c>
      <c r="AU57" s="1">
        <f>IF(AND(OR(E57=3,E57=0),G57=3,F57=1),J57,"")</f>
      </c>
    </row>
    <row customHeight="true" ht="19" r="58">
      <c r="A58" s="99" t="str">
        <v>ピューとシューの二重奏（二重奏）</v>
      </c>
      <c r="B58" s="99" t="str"/>
      <c r="C58" s="99" t="str"/>
      <c r="D58" s="116">
        <f>持有情况!AT94-ROW()*1e-05</f>
      </c>
      <c r="E58" s="116">
        <v>2</v>
      </c>
      <c r="F58" s="117">
        <v>0</v>
      </c>
      <c r="G58" s="116">
        <v>2</v>
      </c>
      <c r="H58" s="116">
        <v>1</v>
      </c>
      <c r="I58" s="111" t="str">
        <v>二重奏</v>
      </c>
      <c r="J58" s="116">
        <f>IF(路线!C6="计算",INT(45+6*路线!B29+3*路线!B27+5*路线!B30+30+20)-ROW()*1e-05,INT(45+6*路线!B29+3*路线!B27+5*路线!B30+30)-ROW()*1e-05)</f>
      </c>
      <c r="L58" s="1">
        <f>IF(AND(OR(E58=1,E58=0),G58=1),D58,"")</f>
      </c>
      <c r="M58" s="1">
        <f>IF(AND(OR(E58=2,E58=0),G58=1),D58,"")</f>
      </c>
      <c r="N58" s="1">
        <f>IF(AND(OR(E58=3,E58=0),G58=1),D58,"")</f>
      </c>
      <c r="O58" s="1">
        <f>IF(AND(OR(E58=1,E58=0),G58=2),D58,"")</f>
      </c>
      <c r="P58" s="1">
        <f>IF(AND(OR(E58=2,E58=0),G58=2),D58,"")</f>
      </c>
      <c r="Q58" s="1">
        <f>IF(AND(OR(E58=3,E58=0),G58=2),D58,"")</f>
      </c>
      <c r="R58" s="1">
        <f>IF(AND(OR(E58=1,E58=0),G58=3),D58,"")</f>
      </c>
      <c r="S58" s="1">
        <f>IF(AND(OR(E58=2,E58=0),G58=3),D58,"")</f>
      </c>
      <c r="T58" s="1">
        <f>IF(AND(OR(E58=3,E58=0),G58=3),D58,"")</f>
      </c>
      <c r="U58" s="1">
        <f>IF(AND(OR(E58=1,E58=0),G58=1,F58=1),D58,"")</f>
      </c>
      <c r="V58" s="1">
        <f>IF(AND(OR(E58=1,E58=0),G58=2,F58=1),D58,"")</f>
      </c>
      <c r="W58" s="1">
        <f>IF(AND(OR(E58=1,E58=0),G58=3,F58=1),D58,"")</f>
      </c>
      <c r="X58" s="1">
        <f>IF(AND(OR(E58=2,E58=0),G58=1,F58=1),D58,"")</f>
      </c>
      <c r="Y58" s="1">
        <f>IF(AND(OR(E58=2,E58=0),G58=2,F58=1),D58,"")</f>
      </c>
      <c r="Z58" s="1">
        <f>IF(AND(OR(E58=2,E58=0),G58=3,F58=1),D58,"")</f>
      </c>
      <c r="AA58" s="1">
        <f>IF(AND(OR(E58=3,E58=0),G58=1,F58=1),D58,"")</f>
      </c>
      <c r="AB58" s="1">
        <f>IF(AND(OR(E58=3,E58=0),G58=2,F58=1),D58,"")</f>
      </c>
      <c r="AC58" s="1">
        <f>IF(AND(OR(E58=3,E58=0),G58=3,F58=1),D58,"")</f>
      </c>
      <c r="AD58" s="1">
        <f>IF(AND(OR(E58=1,E58=0),G58=1,F58=0),J58,"")</f>
      </c>
      <c r="AE58" s="1">
        <f>IF(AND(OR(E58=1,E58=0),G58=2,F58=0),J58,"")</f>
      </c>
      <c r="AF58" s="1">
        <f>IF(AND(OR(E58=1,E58=0),G58=3,F58=0),J58,"")</f>
      </c>
      <c r="AG58" s="1">
        <f>IF(AND(OR(E58=1,E58=0),G58=1,F58=1),J58,"")</f>
      </c>
      <c r="AH58" s="1">
        <f>IF(AND(OR(E58=1,E58=0),G58=2,F58=1),J58,"")</f>
      </c>
      <c r="AI58" s="1">
        <f>IF(AND(OR(E58=1,E58=0),G58=3,F58=1),J58,"")</f>
      </c>
      <c r="AJ58" s="1">
        <f>IF(AND(OR(E58=2,E58=0),G58=1,F58=0),J58,"")</f>
      </c>
      <c r="AK58" s="1">
        <f>IF(AND(OR(E58=2,E58=0),G58=2,F58=0),J58,"")</f>
      </c>
      <c r="AL58" s="1">
        <f>IF(AND(OR(E58=2,E58=0),G58=3,F58=0),J58,"")</f>
      </c>
      <c r="AM58" s="1">
        <f>IF(AND(OR(E58=2,E58=0),G58=1,F58=1),J58,"")</f>
      </c>
      <c r="AN58" s="1">
        <f>IF(AND(OR(E58=2,E58=0),G58=2,F58=1),J58,"")</f>
      </c>
      <c r="AO58" s="1">
        <f>IF(AND(OR(E58=2,E58=0),G58=3,F58=1),J58,"")</f>
      </c>
      <c r="AP58" s="1">
        <f>IF(AND(OR(E58=3,E58=0),G58=1,F58=0),J58,"")</f>
      </c>
      <c r="AQ58" s="1">
        <f>IF(AND(OR(E58=3,E58=0),G58=2,F58=0),J58,"")</f>
      </c>
      <c r="AR58" s="1">
        <f>IF(AND(OR(E58=3,E58=0),G58=3,F58=0),J58,"")</f>
      </c>
      <c r="AS58" s="1">
        <f>IF(AND(OR(E58=3,E58=0),G58=1,F58=1),J58,"")</f>
      </c>
      <c r="AT58" s="1">
        <f>IF(AND(OR(E58=3,E58=0),G58=2,F58=1),J58,"")</f>
      </c>
      <c r="AU58" s="1">
        <f>IF(AND(OR(E58=3,E58=0),G58=3,F58=1),J58,"")</f>
      </c>
    </row>
    <row customHeight="true" ht="19" r="59">
      <c r="A59" s="99" t="str">
        <v>千奈の恩返し（恩返）</v>
      </c>
      <c r="B59" s="99" t="str"/>
      <c r="C59" s="99" t="str"/>
      <c r="D59" s="116">
        <f>持有情况!AT52-ROW()*1e-05</f>
      </c>
      <c r="E59" s="116">
        <v>2</v>
      </c>
      <c r="F59" s="117">
        <v>0</v>
      </c>
      <c r="G59" s="116">
        <v>2</v>
      </c>
      <c r="H59" s="116">
        <v>1</v>
      </c>
      <c r="I59" s="111" t="str">
        <v>恩返</v>
      </c>
      <c r="J59" s="116">
        <f>INT((6.4/100)*路线!B11+8*路线!B35+11*路线!B34+13*路线!B15+30)-ROW()*1e-05</f>
      </c>
      <c r="L59" s="1">
        <f>IF(AND(OR(E59=1,E59=0),G59=1),D59,"")</f>
      </c>
      <c r="M59" s="1">
        <f>IF(AND(OR(E59=2,E59=0),G59=1),D59,"")</f>
      </c>
      <c r="N59" s="1">
        <f>IF(AND(OR(E59=3,E59=0),G59=1),D59,"")</f>
      </c>
      <c r="O59" s="1">
        <f>IF(AND(OR(E59=1,E59=0),G59=2),D59,"")</f>
      </c>
      <c r="P59" s="1">
        <f>IF(AND(OR(E59=2,E59=0),G59=2),D59,"")</f>
      </c>
      <c r="Q59" s="1">
        <f>IF(AND(OR(E59=3,E59=0),G59=2),D59,"")</f>
      </c>
      <c r="R59" s="1">
        <f>IF(AND(OR(E59=1,E59=0),G59=3),D59,"")</f>
      </c>
      <c r="S59" s="1">
        <f>IF(AND(OR(E59=2,E59=0),G59=3),D59,"")</f>
      </c>
      <c r="T59" s="1">
        <f>IF(AND(OR(E59=3,E59=0),G59=3),D59,"")</f>
      </c>
      <c r="U59" s="1">
        <f>IF(AND(OR(E59=1,E59=0),G59=1,F59=1),D59,"")</f>
      </c>
      <c r="V59" s="1">
        <f>IF(AND(OR(E59=1,E59=0),G59=2,F59=1),D59,"")</f>
      </c>
      <c r="W59" s="1">
        <f>IF(AND(OR(E59=1,E59=0),G59=3,F59=1),D59,"")</f>
      </c>
      <c r="X59" s="1">
        <f>IF(AND(OR(E59=2,E59=0),G59=1,F59=1),D59,"")</f>
      </c>
      <c r="Y59" s="1">
        <f>IF(AND(OR(E59=2,E59=0),G59=2,F59=1),D59,"")</f>
      </c>
      <c r="Z59" s="1">
        <f>IF(AND(OR(E59=2,E59=0),G59=3,F59=1),D59,"")</f>
      </c>
      <c r="AA59" s="1">
        <f>IF(AND(OR(E59=3,E59=0),G59=1,F59=1),D59,"")</f>
      </c>
      <c r="AB59" s="1">
        <f>IF(AND(OR(E59=3,E59=0),G59=2,F59=1),D59,"")</f>
      </c>
      <c r="AC59" s="1">
        <f>IF(AND(OR(E59=3,E59=0),G59=3,F59=1),D59,"")</f>
      </c>
      <c r="AD59" s="1">
        <f>IF(AND(OR(E59=1,E59=0),G59=1,F59=0),J59,"")</f>
      </c>
      <c r="AE59" s="1">
        <f>IF(AND(OR(E59=1,E59=0),G59=2,F59=0),J59,"")</f>
      </c>
      <c r="AF59" s="1">
        <f>IF(AND(OR(E59=1,E59=0),G59=3,F59=0),J59,"")</f>
      </c>
      <c r="AG59" s="1">
        <f>IF(AND(OR(E59=1,E59=0),G59=1,F59=1),J59,"")</f>
      </c>
      <c r="AH59" s="1">
        <f>IF(AND(OR(E59=1,E59=0),G59=2,F59=1),J59,"")</f>
      </c>
      <c r="AI59" s="1">
        <f>IF(AND(OR(E59=1,E59=0),G59=3,F59=1),J59,"")</f>
      </c>
      <c r="AJ59" s="1">
        <f>IF(AND(OR(E59=2,E59=0),G59=1,F59=0),J59,"")</f>
      </c>
      <c r="AK59" s="1">
        <f>IF(AND(OR(E59=2,E59=0),G59=2,F59=0),J59,"")</f>
      </c>
      <c r="AL59" s="1">
        <f>IF(AND(OR(E59=2,E59=0),G59=3,F59=0),J59,"")</f>
      </c>
      <c r="AM59" s="1">
        <f>IF(AND(OR(E59=2,E59=0),G59=1,F59=1),J59,"")</f>
      </c>
      <c r="AN59" s="1">
        <f>IF(AND(OR(E59=2,E59=0),G59=2,F59=1),J59,"")</f>
      </c>
      <c r="AO59" s="1">
        <f>IF(AND(OR(E59=2,E59=0),G59=3,F59=1),J59,"")</f>
      </c>
      <c r="AP59" s="1">
        <f>IF(AND(OR(E59=3,E59=0),G59=1,F59=0),J59,"")</f>
      </c>
      <c r="AQ59" s="1">
        <f>IF(AND(OR(E59=3,E59=0),G59=2,F59=0),J59,"")</f>
      </c>
      <c r="AR59" s="1">
        <f>IF(AND(OR(E59=3,E59=0),G59=3,F59=0),J59,"")</f>
      </c>
      <c r="AS59" s="1">
        <f>IF(AND(OR(E59=3,E59=0),G59=1,F59=1),J59,"")</f>
      </c>
      <c r="AT59" s="1">
        <f>IF(AND(OR(E59=3,E59=0),G59=2,F59=1),J59,"")</f>
      </c>
      <c r="AU59" s="1">
        <f>IF(AND(OR(E59=3,E59=0),G59=3,F59=1),J59,"")</f>
      </c>
    </row>
    <row customHeight="true" ht="19" r="60">
      <c r="A60" s="75" t="str">
        <v>次の桜の季節には。（花荫）</v>
      </c>
      <c r="B60" s="75" t="str"/>
      <c r="C60" s="75" t="str"/>
      <c r="D60" s="116">
        <f>持有情况!F22-ROW()*1e-05</f>
      </c>
      <c r="E60" s="117">
        <v>0</v>
      </c>
      <c r="F60" s="117">
        <v>0</v>
      </c>
      <c r="G60" s="116">
        <v>1</v>
      </c>
      <c r="H60" s="116">
        <v>1</v>
      </c>
      <c r="I60" s="111" t="str">
        <v>花荫</v>
      </c>
      <c r="J60" s="116">
        <f>IF(路线!C6="计算",INT((8.5/100)*路线!B11+6*路线!B14+4*(路线!B28+路线!B29)+40+20)-ROW()*1e-05,INT((8.5/100)*路线!B11+6*路线!B14+4*(路线!B28+路线!B29)+40)-ROW()*1e-05)</f>
      </c>
      <c r="L60" s="1">
        <f>IF(AND(OR(E60=1,E60=0),G60=1),D60,"")</f>
      </c>
      <c r="M60" s="1">
        <f>IF(AND(OR(E60=2,E60=0),G60=1),D60,"")</f>
      </c>
      <c r="N60" s="1">
        <f>IF(AND(OR(E60=3,E60=0),G60=1),D60,"")</f>
      </c>
      <c r="O60" s="1">
        <f>IF(AND(OR(E60=1,E60=0),G60=2),D60,"")</f>
      </c>
      <c r="P60" s="1">
        <f>IF(AND(OR(E60=2,E60=0),G60=2),D60,"")</f>
      </c>
      <c r="Q60" s="1">
        <f>IF(AND(OR(E60=3,E60=0),G60=2),D60,"")</f>
      </c>
      <c r="R60" s="1">
        <f>IF(AND(OR(E60=1,E60=0),G60=3),D60,"")</f>
      </c>
      <c r="S60" s="1">
        <f>IF(AND(OR(E60=2,E60=0),G60=3),D60,"")</f>
      </c>
      <c r="T60" s="1">
        <f>IF(AND(OR(E60=3,E60=0),G60=3),D60,"")</f>
      </c>
      <c r="U60" s="1">
        <f>IF(AND(OR(E60=1,E60=0),G60=1,F60=1),D60,"")</f>
      </c>
      <c r="V60" s="1">
        <f>IF(AND(OR(E60=1,E60=0),G60=2,F60=1),D60,"")</f>
      </c>
      <c r="W60" s="1">
        <f>IF(AND(OR(E60=1,E60=0),G60=3,F60=1),D60,"")</f>
      </c>
      <c r="X60" s="1">
        <f>IF(AND(OR(E60=2,E60=0),G60=1,F60=1),D60,"")</f>
      </c>
      <c r="Y60" s="1">
        <f>IF(AND(OR(E60=2,E60=0),G60=2,F60=1),D60,"")</f>
      </c>
      <c r="Z60" s="1">
        <f>IF(AND(OR(E60=2,E60=0),G60=3,F60=1),D60,"")</f>
      </c>
      <c r="AA60" s="1">
        <f>IF(AND(OR(E60=3,E60=0),G60=1,F60=1),D60,"")</f>
      </c>
      <c r="AB60" s="1">
        <f>IF(AND(OR(E60=3,E60=0),G60=2,F60=1),D60,"")</f>
      </c>
      <c r="AC60" s="1">
        <f>IF(AND(OR(E60=3,E60=0),G60=3,F60=1),D60,"")</f>
      </c>
      <c r="AD60" s="1">
        <f>IF(AND(OR(E60=1,E60=0),G60=1,F60=0),J60,"")</f>
      </c>
      <c r="AE60" s="1">
        <f>IF(AND(OR(E60=1,E60=0),G60=2,F60=0),J60,"")</f>
      </c>
      <c r="AF60" s="1">
        <f>IF(AND(OR(E60=1,E60=0),G60=3,F60=0),J60,"")</f>
      </c>
      <c r="AG60" s="1">
        <f>IF(AND(OR(E60=1,E60=0),G60=1,F60=1),J60,"")</f>
      </c>
      <c r="AH60" s="1">
        <f>IF(AND(OR(E60=1,E60=0),G60=2,F60=1),J60,"")</f>
      </c>
      <c r="AI60" s="1">
        <f>IF(AND(OR(E60=1,E60=0),G60=3,F60=1),J60,"")</f>
      </c>
      <c r="AJ60" s="1">
        <f>IF(AND(OR(E60=2,E60=0),G60=1,F60=0),J60,"")</f>
      </c>
      <c r="AK60" s="1">
        <f>IF(AND(OR(E60=2,E60=0),G60=2,F60=0),J60,"")</f>
      </c>
      <c r="AL60" s="1">
        <f>IF(AND(OR(E60=2,E60=0),G60=3,F60=0),J60,"")</f>
      </c>
      <c r="AM60" s="1">
        <f>IF(AND(OR(E60=2,E60=0),G60=1,F60=1),J60,"")</f>
      </c>
      <c r="AN60" s="1">
        <f>IF(AND(OR(E60=2,E60=0),G60=2,F60=1),J60,"")</f>
      </c>
      <c r="AO60" s="1">
        <f>IF(AND(OR(E60=2,E60=0),G60=3,F60=1),J60,"")</f>
      </c>
      <c r="AP60" s="1">
        <f>IF(AND(OR(E60=3,E60=0),G60=1,F60=0),J60,"")</f>
      </c>
      <c r="AQ60" s="1">
        <f>IF(AND(OR(E60=3,E60=0),G60=2,F60=0),J60,"")</f>
      </c>
      <c r="AR60" s="1">
        <f>IF(AND(OR(E60=3,E60=0),G60=3,F60=0),J60,"")</f>
      </c>
      <c r="AS60" s="1">
        <f>IF(AND(OR(E60=3,E60=0),G60=1,F60=1),J60,"")</f>
      </c>
      <c r="AT60" s="1">
        <f>IF(AND(OR(E60=3,E60=0),G60=2,F60=1),J60,"")</f>
      </c>
      <c r="AU60" s="1">
        <f>IF(AND(OR(E60=3,E60=0),G60=3,F60=1),J60,"")</f>
      </c>
    </row>
    <row customHeight="true" ht="19" r="61">
      <c r="A61" s="75" t="str">
        <v>今はあえて、背を向けて（刺猬）</v>
      </c>
      <c r="B61" s="75" t="str"/>
      <c r="C61" s="75" t="str"/>
      <c r="D61" s="116">
        <f>持有情况!AJ28-ROW()*1e-05</f>
      </c>
      <c r="E61" s="117">
        <v>0</v>
      </c>
      <c r="F61" s="116">
        <v>1</v>
      </c>
      <c r="G61" s="116">
        <v>1</v>
      </c>
      <c r="H61" s="117">
        <v>0</v>
      </c>
      <c r="I61" s="1" t="str"/>
      <c r="J61" s="116">
        <f>INT((6.4/100)*路线!B11+17+13*路线!B15+30)-ROW()*1e-05</f>
      </c>
      <c r="L61" s="1">
        <f>IF(AND(OR(E61=1,E61=0),G61=1),D61,"")</f>
      </c>
      <c r="M61" s="1">
        <f>IF(AND(OR(E61=2,E61=0),G61=1),D61,"")</f>
      </c>
      <c r="N61" s="1">
        <f>IF(AND(OR(E61=3,E61=0),G61=1),D61,"")</f>
      </c>
      <c r="O61" s="1">
        <f>IF(AND(OR(E61=1,E61=0),G61=2),D61,"")</f>
      </c>
      <c r="P61" s="1">
        <f>IF(AND(OR(E61=2,E61=0),G61=2),D61,"")</f>
      </c>
      <c r="Q61" s="1">
        <f>IF(AND(OR(E61=3,E61=0),G61=2),D61,"")</f>
      </c>
      <c r="R61" s="1">
        <f>IF(AND(OR(E61=1,E61=0),G61=3),D61,"")</f>
      </c>
      <c r="S61" s="1">
        <f>IF(AND(OR(E61=2,E61=0),G61=3),D61,"")</f>
      </c>
      <c r="T61" s="1">
        <f>IF(AND(OR(E61=3,E61=0),G61=3),D61,"")</f>
      </c>
      <c r="U61" s="1">
        <f>IF(AND(OR(E61=1,E61=0),G61=1,F61=1),D61,"")</f>
      </c>
      <c r="V61" s="1">
        <f>IF(AND(OR(E61=1,E61=0),G61=2,F61=1),D61,"")</f>
      </c>
      <c r="W61" s="1">
        <f>IF(AND(OR(E61=1,E61=0),G61=3,F61=1),D61,"")</f>
      </c>
      <c r="X61" s="1">
        <f>IF(AND(OR(E61=2,E61=0),G61=1,F61=1),D61,"")</f>
      </c>
      <c r="Y61" s="1">
        <f>IF(AND(OR(E61=2,E61=0),G61=2,F61=1),D61,"")</f>
      </c>
      <c r="Z61" s="1">
        <f>IF(AND(OR(E61=2,E61=0),G61=3,F61=1),D61,"")</f>
      </c>
      <c r="AA61" s="1">
        <f>IF(AND(OR(E61=3,E61=0),G61=1,F61=1),D61,"")</f>
      </c>
      <c r="AB61" s="1">
        <f>IF(AND(OR(E61=3,E61=0),G61=2,F61=1),D61,"")</f>
      </c>
      <c r="AC61" s="1">
        <f>IF(AND(OR(E61=3,E61=0),G61=3,F61=1),D61,"")</f>
      </c>
      <c r="AD61" s="1">
        <f>IF(AND(OR(E61=1,E61=0),G61=1,F61=0),J61,"")</f>
      </c>
      <c r="AE61" s="1">
        <f>IF(AND(OR(E61=1,E61=0),G61=2,F61=0),J61,"")</f>
      </c>
      <c r="AF61" s="1">
        <f>IF(AND(OR(E61=1,E61=0),G61=3,F61=0),J61,"")</f>
      </c>
      <c r="AG61" s="1">
        <f>IF(AND(OR(E61=1,E61=0),G61=1,F61=1),J61,"")</f>
      </c>
      <c r="AH61" s="1">
        <f>IF(AND(OR(E61=1,E61=0),G61=2,F61=1),J61,"")</f>
      </c>
      <c r="AI61" s="1">
        <f>IF(AND(OR(E61=1,E61=0),G61=3,F61=1),J61,"")</f>
      </c>
      <c r="AJ61" s="1">
        <f>IF(AND(OR(E61=2,E61=0),G61=1,F61=0),J61,"")</f>
      </c>
      <c r="AK61" s="1">
        <f>IF(AND(OR(E61=2,E61=0),G61=2,F61=0),J61,"")</f>
      </c>
      <c r="AL61" s="1">
        <f>IF(AND(OR(E61=2,E61=0),G61=3,F61=0),J61,"")</f>
      </c>
      <c r="AM61" s="1">
        <f>IF(AND(OR(E61=2,E61=0),G61=1,F61=1),J61,"")</f>
      </c>
      <c r="AN61" s="1">
        <f>IF(AND(OR(E61=2,E61=0),G61=2,F61=1),J61,"")</f>
      </c>
      <c r="AO61" s="1">
        <f>IF(AND(OR(E61=2,E61=0),G61=3,F61=1),J61,"")</f>
      </c>
      <c r="AP61" s="1">
        <f>IF(AND(OR(E61=3,E61=0),G61=1,F61=0),J61,"")</f>
      </c>
      <c r="AQ61" s="1">
        <f>IF(AND(OR(E61=3,E61=0),G61=2,F61=0),J61,"")</f>
      </c>
      <c r="AR61" s="1">
        <f>IF(AND(OR(E61=3,E61=0),G61=3,F61=0),J61,"")</f>
      </c>
      <c r="AS61" s="1">
        <f>IF(AND(OR(E61=3,E61=0),G61=1,F61=1),J61,"")</f>
      </c>
      <c r="AT61" s="1">
        <f>IF(AND(OR(E61=3,E61=0),G61=2,F61=1),J61,"")</f>
      </c>
      <c r="AU61" s="1">
        <f>IF(AND(OR(E61=3,E61=0),G61=3,F61=1),J61,"")</f>
      </c>
    </row>
    <row customHeight="true" ht="19" r="62">
      <c r="A62" s="99" t="str">
        <v>ふわふわでワクワク（蓝饮料）</v>
      </c>
      <c r="B62" s="99" t="str"/>
      <c r="C62" s="99" t="str"/>
      <c r="D62" s="116">
        <f>持有情况!AT16-ROW()*1e-05</f>
      </c>
      <c r="E62" s="117">
        <v>0</v>
      </c>
      <c r="F62" s="116">
        <v>1</v>
      </c>
      <c r="G62" s="116">
        <v>2</v>
      </c>
      <c r="H62" s="117">
        <v>0</v>
      </c>
      <c r="I62" s="1" t="str"/>
      <c r="J62" s="116">
        <f>INT((6.4/100)*路线!B11+17+13*路线!B15+30)-ROW()*1e-05</f>
      </c>
      <c r="L62" s="1">
        <f>IF(AND(OR(E62=1,E62=0),G62=1),D62,"")</f>
      </c>
      <c r="M62" s="1">
        <f>IF(AND(OR(E62=2,E62=0),G62=1),D62,"")</f>
      </c>
      <c r="N62" s="1">
        <f>IF(AND(OR(E62=3,E62=0),G62=1),D62,"")</f>
      </c>
      <c r="O62" s="1">
        <f>IF(AND(OR(E62=1,E62=0),G62=2),D62,"")</f>
      </c>
      <c r="P62" s="1">
        <f>IF(AND(OR(E62=2,E62=0),G62=2),D62,"")</f>
      </c>
      <c r="Q62" s="1">
        <f>IF(AND(OR(E62=3,E62=0),G62=2),D62,"")</f>
      </c>
      <c r="R62" s="1">
        <f>IF(AND(OR(E62=1,E62=0),G62=3),D62,"")</f>
      </c>
      <c r="S62" s="1">
        <f>IF(AND(OR(E62=2,E62=0),G62=3),D62,"")</f>
      </c>
      <c r="T62" s="1">
        <f>IF(AND(OR(E62=3,E62=0),G62=3),D62,"")</f>
      </c>
      <c r="U62" s="1">
        <f>IF(AND(OR(E62=1,E62=0),G62=1,F62=1),D62,"")</f>
      </c>
      <c r="V62" s="1">
        <f>IF(AND(OR(E62=1,E62=0),G62=2,F62=1),D62,"")</f>
      </c>
      <c r="W62" s="1">
        <f>IF(AND(OR(E62=1,E62=0),G62=3,F62=1),D62,"")</f>
      </c>
      <c r="X62" s="1">
        <f>IF(AND(OR(E62=2,E62=0),G62=1,F62=1),D62,"")</f>
      </c>
      <c r="Y62" s="1">
        <f>IF(AND(OR(E62=2,E62=0),G62=2,F62=1),D62,"")</f>
      </c>
      <c r="Z62" s="1">
        <f>IF(AND(OR(E62=2,E62=0),G62=3,F62=1),D62,"")</f>
      </c>
      <c r="AA62" s="1">
        <f>IF(AND(OR(E62=3,E62=0),G62=1,F62=1),D62,"")</f>
      </c>
      <c r="AB62" s="1">
        <f>IF(AND(OR(E62=3,E62=0),G62=2,F62=1),D62,"")</f>
      </c>
      <c r="AC62" s="1">
        <f>IF(AND(OR(E62=3,E62=0),G62=3,F62=1),D62,"")</f>
      </c>
      <c r="AD62" s="1">
        <f>IF(AND(OR(E62=1,E62=0),G62=1,F62=0),J62,"")</f>
      </c>
      <c r="AE62" s="1">
        <f>IF(AND(OR(E62=1,E62=0),G62=2,F62=0),J62,"")</f>
      </c>
      <c r="AF62" s="1">
        <f>IF(AND(OR(E62=1,E62=0),G62=3,F62=0),J62,"")</f>
      </c>
      <c r="AG62" s="1">
        <f>IF(AND(OR(E62=1,E62=0),G62=1,F62=1),J62,"")</f>
      </c>
      <c r="AH62" s="1">
        <f>IF(AND(OR(E62=1,E62=0),G62=2,F62=1),J62,"")</f>
      </c>
      <c r="AI62" s="1">
        <f>IF(AND(OR(E62=1,E62=0),G62=3,F62=1),J62,"")</f>
      </c>
      <c r="AJ62" s="1">
        <f>IF(AND(OR(E62=2,E62=0),G62=1,F62=0),J62,"")</f>
      </c>
      <c r="AK62" s="1">
        <f>IF(AND(OR(E62=2,E62=0),G62=2,F62=0),J62,"")</f>
      </c>
      <c r="AL62" s="1">
        <f>IF(AND(OR(E62=2,E62=0),G62=3,F62=0),J62,"")</f>
      </c>
      <c r="AM62" s="1">
        <f>IF(AND(OR(E62=2,E62=0),G62=1,F62=1),J62,"")</f>
      </c>
      <c r="AN62" s="1">
        <f>IF(AND(OR(E62=2,E62=0),G62=2,F62=1),J62,"")</f>
      </c>
      <c r="AO62" s="1">
        <f>IF(AND(OR(E62=2,E62=0),G62=3,F62=1),J62,"")</f>
      </c>
      <c r="AP62" s="1">
        <f>IF(AND(OR(E62=3,E62=0),G62=1,F62=0),J62,"")</f>
      </c>
      <c r="AQ62" s="1">
        <f>IF(AND(OR(E62=3,E62=0),G62=2,F62=0),J62,"")</f>
      </c>
      <c r="AR62" s="1">
        <f>IF(AND(OR(E62=3,E62=0),G62=3,F62=0),J62,"")</f>
      </c>
      <c r="AS62" s="1">
        <f>IF(AND(OR(E62=3,E62=0),G62=1,F62=1),J62,"")</f>
      </c>
      <c r="AT62" s="1">
        <f>IF(AND(OR(E62=3,E62=0),G62=2,F62=1),J62,"")</f>
      </c>
      <c r="AU62" s="1">
        <f>IF(AND(OR(E62=3,E62=0),G62=3,F62=1),J62,"")</f>
      </c>
    </row>
    <row customHeight="true" ht="19" r="63">
      <c r="A63" s="86" t="str">
        <v>体当たりのラブコール（过肩摔）</v>
      </c>
      <c r="B63" s="86" t="str"/>
      <c r="C63" s="86" t="str"/>
      <c r="D63" s="116">
        <f>持有情况!BD28-ROW()*1e-05</f>
      </c>
      <c r="E63" s="117">
        <v>0</v>
      </c>
      <c r="F63" s="116">
        <v>1</v>
      </c>
      <c r="G63" s="116">
        <v>3</v>
      </c>
      <c r="H63" s="116">
        <v>1</v>
      </c>
      <c r="I63" s="111" t="str">
        <v>过肩摔</v>
      </c>
      <c r="J63" s="116">
        <f>IF(路线!C6="计算",INT((6.4/100)*路线!B11+17+13*路线!B15+30+20)-ROW()*1e-05,INT((6.4/100)*路线!B11+17+13*路线!B15+30)-ROW()*1e-05)</f>
      </c>
      <c r="L63" s="1">
        <f>IF(AND(OR(E63=1,E63=0),G63=1),D63,"")</f>
      </c>
      <c r="M63" s="1">
        <f>IF(AND(OR(E63=2,E63=0),G63=1),D63,"")</f>
      </c>
      <c r="N63" s="1">
        <f>IF(AND(OR(E63=3,E63=0),G63=1),D63,"")</f>
      </c>
      <c r="O63" s="1">
        <f>IF(AND(OR(E63=1,E63=0),G63=2),D63,"")</f>
      </c>
      <c r="P63" s="1">
        <f>IF(AND(OR(E63=2,E63=0),G63=2),D63,"")</f>
      </c>
      <c r="Q63" s="1">
        <f>IF(AND(OR(E63=3,E63=0),G63=2),D63,"")</f>
      </c>
      <c r="R63" s="1">
        <f>IF(AND(OR(E63=1,E63=0),G63=3),D63,"")</f>
      </c>
      <c r="S63" s="1">
        <f>IF(AND(OR(E63=2,E63=0),G63=3),D63,"")</f>
      </c>
      <c r="T63" s="1">
        <f>IF(AND(OR(E63=3,E63=0),G63=3),D63,"")</f>
      </c>
      <c r="U63" s="1">
        <f>IF(AND(OR(E63=1,E63=0),G63=1,F63=1),D63,"")</f>
      </c>
      <c r="V63" s="1">
        <f>IF(AND(OR(E63=1,E63=0),G63=2,F63=1),D63,"")</f>
      </c>
      <c r="W63" s="1">
        <f>IF(AND(OR(E63=1,E63=0),G63=3,F63=1),D63,"")</f>
      </c>
      <c r="X63" s="1">
        <f>IF(AND(OR(E63=2,E63=0),G63=1,F63=1),D63,"")</f>
      </c>
      <c r="Y63" s="1">
        <f>IF(AND(OR(E63=2,E63=0),G63=2,F63=1),D63,"")</f>
      </c>
      <c r="Z63" s="1">
        <f>IF(AND(OR(E63=2,E63=0),G63=3,F63=1),D63,"")</f>
      </c>
      <c r="AA63" s="1">
        <f>IF(AND(OR(E63=3,E63=0),G63=1,F63=1),D63,"")</f>
      </c>
      <c r="AB63" s="1">
        <f>IF(AND(OR(E63=3,E63=0),G63=2,F63=1),D63,"")</f>
      </c>
      <c r="AC63" s="1">
        <f>IF(AND(OR(E63=3,E63=0),G63=3,F63=1),D63,"")</f>
      </c>
      <c r="AD63" s="1">
        <f>IF(AND(OR(E63=1,E63=0),G63=1,F63=0),J63,"")</f>
      </c>
      <c r="AE63" s="1">
        <f>IF(AND(OR(E63=1,E63=0),G63=2,F63=0),J63,"")</f>
      </c>
      <c r="AF63" s="1">
        <f>IF(AND(OR(E63=1,E63=0),G63=3,F63=0),J63,"")</f>
      </c>
      <c r="AG63" s="1">
        <f>IF(AND(OR(E63=1,E63=0),G63=1,F63=1),J63,"")</f>
      </c>
      <c r="AH63" s="1">
        <f>IF(AND(OR(E63=1,E63=0),G63=2,F63=1),J63,"")</f>
      </c>
      <c r="AI63" s="1">
        <f>IF(AND(OR(E63=1,E63=0),G63=3,F63=1),J63,"")</f>
      </c>
      <c r="AJ63" s="1">
        <f>IF(AND(OR(E63=2,E63=0),G63=1,F63=0),J63,"")</f>
      </c>
      <c r="AK63" s="1">
        <f>IF(AND(OR(E63=2,E63=0),G63=2,F63=0),J63,"")</f>
      </c>
      <c r="AL63" s="1">
        <f>IF(AND(OR(E63=2,E63=0),G63=3,F63=0),J63,"")</f>
      </c>
      <c r="AM63" s="1">
        <f>IF(AND(OR(E63=2,E63=0),G63=1,F63=1),J63,"")</f>
      </c>
      <c r="AN63" s="1">
        <f>IF(AND(OR(E63=2,E63=0),G63=2,F63=1),J63,"")</f>
      </c>
      <c r="AO63" s="1">
        <f>IF(AND(OR(E63=2,E63=0),G63=3,F63=1),J63,"")</f>
      </c>
      <c r="AP63" s="1">
        <f>IF(AND(OR(E63=3,E63=0),G63=1,F63=0),J63,"")</f>
      </c>
      <c r="AQ63" s="1">
        <f>IF(AND(OR(E63=3,E63=0),G63=2,F63=0),J63,"")</f>
      </c>
      <c r="AR63" s="1">
        <f>IF(AND(OR(E63=3,E63=0),G63=3,F63=0),J63,"")</f>
      </c>
      <c r="AS63" s="1">
        <f>IF(AND(OR(E63=3,E63=0),G63=1,F63=1),J63,"")</f>
      </c>
      <c r="AT63" s="1">
        <f>IF(AND(OR(E63=3,E63=0),G63=2,F63=1),J63,"")</f>
      </c>
      <c r="AU63" s="1">
        <f>IF(AND(OR(E63=3,E63=0),G63=3,F63=1),J63,"")</f>
      </c>
    </row>
    <row customHeight="true" ht="19" r="64">
      <c r="A64" s="75" t="str">
        <v>マイペース、マイライフ（红13）</v>
      </c>
      <c r="B64" s="75" t="str"/>
      <c r="C64" s="75" t="str"/>
      <c r="D64" s="116">
        <f>IF(路线!B4="计算",持有情况!AM10,持有情况!AJ10)-ROW()*1e-05</f>
      </c>
      <c r="E64" s="117">
        <v>0</v>
      </c>
      <c r="F64" s="117">
        <v>0</v>
      </c>
      <c r="G64" s="116">
        <v>1</v>
      </c>
      <c r="H64" s="117">
        <v>0</v>
      </c>
      <c r="I64" s="1" t="str"/>
      <c r="J64" s="116">
        <f>IF(路线!B4="计算",INT(45+8*路线!B33+4*路线!B14+30+持有情况!AM9),INT(45+8*路线!B33+4*路线!B14+30))-ROW()*1e-05</f>
      </c>
      <c r="L64" s="1">
        <f>IF(AND(OR(E64=1,E64=0),G64=1),D64,"")</f>
      </c>
      <c r="M64" s="1">
        <f>IF(AND(OR(E64=2,E64=0),G64=1),D64,"")</f>
      </c>
      <c r="N64" s="1">
        <f>IF(AND(OR(E64=3,E64=0),G64=1),D64,"")</f>
      </c>
      <c r="O64" s="1">
        <f>IF(AND(OR(E64=1,E64=0),G64=2),D64,"")</f>
      </c>
      <c r="P64" s="1">
        <f>IF(AND(OR(E64=2,E64=0),G64=2),D64,"")</f>
      </c>
      <c r="Q64" s="1">
        <f>IF(AND(OR(E64=3,E64=0),G64=2),D64,"")</f>
      </c>
      <c r="R64" s="1">
        <f>IF(AND(OR(E64=1,E64=0),G64=3),D64,"")</f>
      </c>
      <c r="S64" s="1">
        <f>IF(AND(OR(E64=2,E64=0),G64=3),D64,"")</f>
      </c>
      <c r="T64" s="1">
        <f>IF(AND(OR(E64=3,E64=0),G64=3),D64,"")</f>
      </c>
      <c r="U64" s="1">
        <f>IF(AND(OR(E64=1,E64=0),G64=1,F64=1),D64,"")</f>
      </c>
      <c r="V64" s="1">
        <f>IF(AND(OR(E64=1,E64=0),G64=2,F64=1),D64,"")</f>
      </c>
      <c r="W64" s="1">
        <f>IF(AND(OR(E64=1,E64=0),G64=3,F64=1),D64,"")</f>
      </c>
      <c r="X64" s="1">
        <f>IF(AND(OR(E64=2,E64=0),G64=1,F64=1),D64,"")</f>
      </c>
      <c r="Y64" s="1">
        <f>IF(AND(OR(E64=2,E64=0),G64=2,F64=1),D64,"")</f>
      </c>
      <c r="Z64" s="1">
        <f>IF(AND(OR(E64=2,E64=0),G64=3,F64=1),D64,"")</f>
      </c>
      <c r="AA64" s="1">
        <f>IF(AND(OR(E64=3,E64=0),G64=1,F64=1),D64,"")</f>
      </c>
      <c r="AB64" s="1">
        <f>IF(AND(OR(E64=3,E64=0),G64=2,F64=1),D64,"")</f>
      </c>
      <c r="AC64" s="1">
        <f>IF(AND(OR(E64=3,E64=0),G64=3,F64=1),D64,"")</f>
      </c>
      <c r="AD64" s="1">
        <f>IF(AND(OR(E64=1,E64=0),G64=1,F64=0),J64,"")</f>
      </c>
      <c r="AE64" s="1">
        <f>IF(AND(OR(E64=1,E64=0),G64=2,F64=0),J64,"")</f>
      </c>
      <c r="AF64" s="1">
        <f>IF(AND(OR(E64=1,E64=0),G64=3,F64=0),J64,"")</f>
      </c>
      <c r="AG64" s="1">
        <f>IF(AND(OR(E64=1,E64=0),G64=1,F64=1),J64,"")</f>
      </c>
      <c r="AH64" s="1">
        <f>IF(AND(OR(E64=1,E64=0),G64=2,F64=1),J64,"")</f>
      </c>
      <c r="AI64" s="1">
        <f>IF(AND(OR(E64=1,E64=0),G64=3,F64=1),J64,"")</f>
      </c>
      <c r="AJ64" s="1">
        <f>IF(AND(OR(E64=2,E64=0),G64=1,F64=0),J64,"")</f>
      </c>
      <c r="AK64" s="1">
        <f>IF(AND(OR(E64=2,E64=0),G64=2,F64=0),J64,"")</f>
      </c>
      <c r="AL64" s="1">
        <f>IF(AND(OR(E64=2,E64=0),G64=3,F64=0),J64,"")</f>
      </c>
      <c r="AM64" s="1">
        <f>IF(AND(OR(E64=2,E64=0),G64=1,F64=1),J64,"")</f>
      </c>
      <c r="AN64" s="1">
        <f>IF(AND(OR(E64=2,E64=0),G64=2,F64=1),J64,"")</f>
      </c>
      <c r="AO64" s="1">
        <f>IF(AND(OR(E64=2,E64=0),G64=3,F64=1),J64,"")</f>
      </c>
      <c r="AP64" s="1">
        <f>IF(AND(OR(E64=3,E64=0),G64=1,F64=0),J64,"")</f>
      </c>
      <c r="AQ64" s="1">
        <f>IF(AND(OR(E64=3,E64=0),G64=2,F64=0),J64,"")</f>
      </c>
      <c r="AR64" s="1">
        <f>IF(AND(OR(E64=3,E64=0),G64=3,F64=0),J64,"")</f>
      </c>
      <c r="AS64" s="1">
        <f>IF(AND(OR(E64=3,E64=0),G64=1,F64=1),J64,"")</f>
      </c>
      <c r="AT64" s="1">
        <f>IF(AND(OR(E64=3,E64=0),G64=2,F64=1),J64,"")</f>
      </c>
      <c r="AU64" s="1">
        <f>IF(AND(OR(E64=3,E64=0),G64=3,F64=1),J64,"")</f>
      </c>
    </row>
    <row customHeight="true" ht="19" r="65">
      <c r="A65" s="99" t="str">
        <v>実食！例のSSD（蓝13）</v>
      </c>
      <c r="B65" s="99" t="str"/>
      <c r="C65" s="99" t="str"/>
      <c r="D65" s="116">
        <f>IF(路线!B4="计算",持有情况!AW4,持有情况!AT4)-ROW()*1e-05</f>
      </c>
      <c r="E65" s="117">
        <v>0</v>
      </c>
      <c r="F65" s="117">
        <v>0</v>
      </c>
      <c r="G65" s="116">
        <v>2</v>
      </c>
      <c r="H65" s="117">
        <v>0</v>
      </c>
      <c r="I65" s="1" t="str"/>
      <c r="J65" s="116">
        <f>IF(路线!B4="计算",INT(45+8*路线!B33+4*路线!B14+30+持有情况!AW3),INT(45+8*路线!B33+4*路线!B14+30))-ROW()*1e-05</f>
      </c>
      <c r="L65" s="1">
        <f>IF(AND(OR(E65=1,E65=0),G65=1),D65,"")</f>
      </c>
      <c r="M65" s="1">
        <f>IF(AND(OR(E65=2,E65=0),G65=1),D65,"")</f>
      </c>
      <c r="N65" s="1">
        <f>IF(AND(OR(E65=3,E65=0),G65=1),D65,"")</f>
      </c>
      <c r="O65" s="1">
        <f>IF(AND(OR(E65=1,E65=0),G65=2),D65,"")</f>
      </c>
      <c r="P65" s="1">
        <f>IF(AND(OR(E65=2,E65=0),G65=2),D65,"")</f>
      </c>
      <c r="Q65" s="1">
        <f>IF(AND(OR(E65=3,E65=0),G65=2),D65,"")</f>
      </c>
      <c r="R65" s="1">
        <f>IF(AND(OR(E65=1,E65=0),G65=3),D65,"")</f>
      </c>
      <c r="S65" s="1">
        <f>IF(AND(OR(E65=2,E65=0),G65=3),D65,"")</f>
      </c>
      <c r="T65" s="1">
        <f>IF(AND(OR(E65=3,E65=0),G65=3),D65,"")</f>
      </c>
      <c r="U65" s="1">
        <f>IF(AND(OR(E65=1,E65=0),G65=1,F65=1),D65,"")</f>
      </c>
      <c r="V65" s="1">
        <f>IF(AND(OR(E65=1,E65=0),G65=2,F65=1),D65,"")</f>
      </c>
      <c r="W65" s="1">
        <f>IF(AND(OR(E65=1,E65=0),G65=3,F65=1),D65,"")</f>
      </c>
      <c r="X65" s="1">
        <f>IF(AND(OR(E65=2,E65=0),G65=1,F65=1),D65,"")</f>
      </c>
      <c r="Y65" s="1">
        <f>IF(AND(OR(E65=2,E65=0),G65=2,F65=1),D65,"")</f>
      </c>
      <c r="Z65" s="1">
        <f>IF(AND(OR(E65=2,E65=0),G65=3,F65=1),D65,"")</f>
      </c>
      <c r="AA65" s="1">
        <f>IF(AND(OR(E65=3,E65=0),G65=1,F65=1),D65,"")</f>
      </c>
      <c r="AB65" s="1">
        <f>IF(AND(OR(E65=3,E65=0),G65=2,F65=1),D65,"")</f>
      </c>
      <c r="AC65" s="1">
        <f>IF(AND(OR(E65=3,E65=0),G65=3,F65=1),D65,"")</f>
      </c>
      <c r="AD65" s="1">
        <f>IF(AND(OR(E65=1,E65=0),G65=1,F65=0),J65,"")</f>
      </c>
      <c r="AE65" s="1">
        <f>IF(AND(OR(E65=1,E65=0),G65=2,F65=0),J65,"")</f>
      </c>
      <c r="AF65" s="1">
        <f>IF(AND(OR(E65=1,E65=0),G65=3,F65=0),J65,"")</f>
      </c>
      <c r="AG65" s="1">
        <f>IF(AND(OR(E65=1,E65=0),G65=1,F65=1),J65,"")</f>
      </c>
      <c r="AH65" s="1">
        <f>IF(AND(OR(E65=1,E65=0),G65=2,F65=1),J65,"")</f>
      </c>
      <c r="AI65" s="1">
        <f>IF(AND(OR(E65=1,E65=0),G65=3,F65=1),J65,"")</f>
      </c>
      <c r="AJ65" s="1">
        <f>IF(AND(OR(E65=2,E65=0),G65=1,F65=0),J65,"")</f>
      </c>
      <c r="AK65" s="1">
        <f>IF(AND(OR(E65=2,E65=0),G65=2,F65=0),J65,"")</f>
      </c>
      <c r="AL65" s="1">
        <f>IF(AND(OR(E65=2,E65=0),G65=3,F65=0),J65,"")</f>
      </c>
      <c r="AM65" s="1">
        <f>IF(AND(OR(E65=2,E65=0),G65=1,F65=1),J65,"")</f>
      </c>
      <c r="AN65" s="1">
        <f>IF(AND(OR(E65=2,E65=0),G65=2,F65=1),J65,"")</f>
      </c>
      <c r="AO65" s="1">
        <f>IF(AND(OR(E65=2,E65=0),G65=3,F65=1),J65,"")</f>
      </c>
      <c r="AP65" s="1">
        <f>IF(AND(OR(E65=3,E65=0),G65=1,F65=0),J65,"")</f>
      </c>
      <c r="AQ65" s="1">
        <f>IF(AND(OR(E65=3,E65=0),G65=2,F65=0),J65,"")</f>
      </c>
      <c r="AR65" s="1">
        <f>IF(AND(OR(E65=3,E65=0),G65=3,F65=0),J65,"")</f>
      </c>
      <c r="AS65" s="1">
        <f>IF(AND(OR(E65=3,E65=0),G65=1,F65=1),J65,"")</f>
      </c>
      <c r="AT65" s="1">
        <f>IF(AND(OR(E65=3,E65=0),G65=2,F65=1),J65,"")</f>
      </c>
      <c r="AU65" s="1">
        <f>IF(AND(OR(E65=3,E65=0),G65=3,F65=1),J65,"")</f>
      </c>
    </row>
    <row customHeight="true" ht="19" r="66">
      <c r="A66" s="86" t="str">
        <v>思惑とガクガク（黄13）</v>
      </c>
      <c r="B66" s="86" t="str"/>
      <c r="C66" s="86" t="str"/>
      <c r="D66" s="116">
        <f>IF(路线!B4="计算",持有情况!BG10,持有情况!BD10)-ROW()*1e-05</f>
      </c>
      <c r="E66" s="117">
        <v>0</v>
      </c>
      <c r="F66" s="117">
        <v>0</v>
      </c>
      <c r="G66" s="116">
        <v>3</v>
      </c>
      <c r="H66" s="117">
        <v>0</v>
      </c>
      <c r="I66" s="1" t="str"/>
      <c r="J66" s="116">
        <f>IF(路线!B4="计算",INT(45+8*路线!B33+4*路线!B14+30+持有情况!BG9),INT(45+8*路线!B33+4*路线!B14+30))-ROW()*1e-05</f>
      </c>
      <c r="L66" s="1">
        <f>IF(AND(OR(E66=1,E66=0),G66=1),D66,"")</f>
      </c>
      <c r="M66" s="1">
        <f>IF(AND(OR(E66=2,E66=0),G66=1),D66,"")</f>
      </c>
      <c r="N66" s="1">
        <f>IF(AND(OR(E66=3,E66=0),G66=1),D66,"")</f>
      </c>
      <c r="O66" s="1">
        <f>IF(AND(OR(E66=1,E66=0),G66=2),D66,"")</f>
      </c>
      <c r="P66" s="1">
        <f>IF(AND(OR(E66=2,E66=0),G66=2),D66,"")</f>
      </c>
      <c r="Q66" s="1">
        <f>IF(AND(OR(E66=3,E66=0),G66=2),D66,"")</f>
      </c>
      <c r="R66" s="1">
        <f>IF(AND(OR(E66=1,E66=0),G66=3),D66,"")</f>
      </c>
      <c r="S66" s="1">
        <f>IF(AND(OR(E66=2,E66=0),G66=3),D66,"")</f>
      </c>
      <c r="T66" s="1">
        <f>IF(AND(OR(E66=3,E66=0),G66=3),D66,"")</f>
      </c>
      <c r="U66" s="1">
        <f>IF(AND(OR(E66=1,E66=0),G66=1,F66=1),D66,"")</f>
      </c>
      <c r="V66" s="1">
        <f>IF(AND(OR(E66=1,E66=0),G66=2,F66=1),D66,"")</f>
      </c>
      <c r="W66" s="1">
        <f>IF(AND(OR(E66=1,E66=0),G66=3,F66=1),D66,"")</f>
      </c>
      <c r="X66" s="1">
        <f>IF(AND(OR(E66=2,E66=0),G66=1,F66=1),D66,"")</f>
      </c>
      <c r="Y66" s="1">
        <f>IF(AND(OR(E66=2,E66=0),G66=2,F66=1),D66,"")</f>
      </c>
      <c r="Z66" s="1">
        <f>IF(AND(OR(E66=2,E66=0),G66=3,F66=1),D66,"")</f>
      </c>
      <c r="AA66" s="1">
        <f>IF(AND(OR(E66=3,E66=0),G66=1,F66=1),D66,"")</f>
      </c>
      <c r="AB66" s="1">
        <f>IF(AND(OR(E66=3,E66=0),G66=2,F66=1),D66,"")</f>
      </c>
      <c r="AC66" s="1">
        <f>IF(AND(OR(E66=3,E66=0),G66=3,F66=1),D66,"")</f>
      </c>
      <c r="AD66" s="1">
        <f>IF(AND(OR(E66=1,E66=0),G66=1,F66=0),J66,"")</f>
      </c>
      <c r="AE66" s="1">
        <f>IF(AND(OR(E66=1,E66=0),G66=2,F66=0),J66,"")</f>
      </c>
      <c r="AF66" s="1">
        <f>IF(AND(OR(E66=1,E66=0),G66=3,F66=0),J66,"")</f>
      </c>
      <c r="AG66" s="1">
        <f>IF(AND(OR(E66=1,E66=0),G66=1,F66=1),J66,"")</f>
      </c>
      <c r="AH66" s="1">
        <f>IF(AND(OR(E66=1,E66=0),G66=2,F66=1),J66,"")</f>
      </c>
      <c r="AI66" s="1">
        <f>IF(AND(OR(E66=1,E66=0),G66=3,F66=1),J66,"")</f>
      </c>
      <c r="AJ66" s="1">
        <f>IF(AND(OR(E66=2,E66=0),G66=1,F66=0),J66,"")</f>
      </c>
      <c r="AK66" s="1">
        <f>IF(AND(OR(E66=2,E66=0),G66=2,F66=0),J66,"")</f>
      </c>
      <c r="AL66" s="1">
        <f>IF(AND(OR(E66=2,E66=0),G66=3,F66=0),J66,"")</f>
      </c>
      <c r="AM66" s="1">
        <f>IF(AND(OR(E66=2,E66=0),G66=1,F66=1),J66,"")</f>
      </c>
      <c r="AN66" s="1">
        <f>IF(AND(OR(E66=2,E66=0),G66=2,F66=1),J66,"")</f>
      </c>
      <c r="AO66" s="1">
        <f>IF(AND(OR(E66=2,E66=0),G66=3,F66=1),J66,"")</f>
      </c>
      <c r="AP66" s="1">
        <f>IF(AND(OR(E66=3,E66=0),G66=1,F66=0),J66,"")</f>
      </c>
      <c r="AQ66" s="1">
        <f>IF(AND(OR(E66=3,E66=0),G66=2,F66=0),J66,"")</f>
      </c>
      <c r="AR66" s="1">
        <f>IF(AND(OR(E66=3,E66=0),G66=3,F66=0),J66,"")</f>
      </c>
      <c r="AS66" s="1">
        <f>IF(AND(OR(E66=3,E66=0),G66=1,F66=1),J66,"")</f>
      </c>
      <c r="AT66" s="1">
        <f>IF(AND(OR(E66=3,E66=0),G66=2,F66=1),J66,"")</f>
      </c>
      <c r="AU66" s="1">
        <f>IF(AND(OR(E66=3,E66=0),G66=3,F66=1),J66,"")</f>
      </c>
    </row>
    <row customHeight="true" ht="19" r="67">
      <c r="A67" s="99" t="str">
        <v>ほら、一緒に持と♪（蓝再动）</v>
      </c>
      <c r="B67" s="99" t="str"/>
      <c r="C67" s="99" t="str"/>
      <c r="D67" s="116">
        <f>持有情况!P4-ROW()*1e-05</f>
      </c>
      <c r="E67" s="117">
        <v>0</v>
      </c>
      <c r="F67" s="117">
        <v>0</v>
      </c>
      <c r="G67" s="116">
        <v>2</v>
      </c>
      <c r="H67" s="116">
        <v>1</v>
      </c>
      <c r="I67" s="111" t="str">
        <v>蓝再动</v>
      </c>
      <c r="J67" s="116">
        <f>INT((8.5/100)*路线!B11+6*路线!B14+3*路线!B23+40)-ROW()*1e-05</f>
      </c>
      <c r="L67" s="1">
        <f>IF(AND(OR(E67=1,E67=0),G67=1),D67,"")</f>
      </c>
      <c r="M67" s="1">
        <f>IF(AND(OR(E67=2,E67=0),G67=1),D67,"")</f>
      </c>
      <c r="N67" s="1">
        <f>IF(AND(OR(E67=3,E67=0),G67=1),D67,"")</f>
      </c>
      <c r="O67" s="1">
        <f>IF(AND(OR(E67=1,E67=0),G67=2),D67,"")</f>
      </c>
      <c r="P67" s="1">
        <f>IF(AND(OR(E67=2,E67=0),G67=2),D67,"")</f>
      </c>
      <c r="Q67" s="1">
        <f>IF(AND(OR(E67=3,E67=0),G67=2),D67,"")</f>
      </c>
      <c r="R67" s="1">
        <f>IF(AND(OR(E67=1,E67=0),G67=3),D67,"")</f>
      </c>
      <c r="S67" s="1">
        <f>IF(AND(OR(E67=2,E67=0),G67=3),D67,"")</f>
      </c>
      <c r="T67" s="1">
        <f>IF(AND(OR(E67=3,E67=0),G67=3),D67,"")</f>
      </c>
      <c r="U67" s="1">
        <f>IF(AND(OR(E67=1,E67=0),G67=1,F67=1),D67,"")</f>
      </c>
      <c r="V67" s="1">
        <f>IF(AND(OR(E67=1,E67=0),G67=2,F67=1),D67,"")</f>
      </c>
      <c r="W67" s="1">
        <f>IF(AND(OR(E67=1,E67=0),G67=3,F67=1),D67,"")</f>
      </c>
      <c r="X67" s="1">
        <f>IF(AND(OR(E67=2,E67=0),G67=1,F67=1),D67,"")</f>
      </c>
      <c r="Y67" s="1">
        <f>IF(AND(OR(E67=2,E67=0),G67=2,F67=1),D67,"")</f>
      </c>
      <c r="Z67" s="1">
        <f>IF(AND(OR(E67=2,E67=0),G67=3,F67=1),D67,"")</f>
      </c>
      <c r="AA67" s="1">
        <f>IF(AND(OR(E67=3,E67=0),G67=1,F67=1),D67,"")</f>
      </c>
      <c r="AB67" s="1">
        <f>IF(AND(OR(E67=3,E67=0),G67=2,F67=1),D67,"")</f>
      </c>
      <c r="AC67" s="1">
        <f>IF(AND(OR(E67=3,E67=0),G67=3,F67=1),D67,"")</f>
      </c>
      <c r="AD67" s="1">
        <f>IF(AND(OR(E67=1,E67=0),G67=1,F67=0),J67,"")</f>
      </c>
      <c r="AE67" s="1">
        <f>IF(AND(OR(E67=1,E67=0),G67=2,F67=0),J67,"")</f>
      </c>
      <c r="AF67" s="1">
        <f>IF(AND(OR(E67=1,E67=0),G67=3,F67=0),J67,"")</f>
      </c>
      <c r="AG67" s="1">
        <f>IF(AND(OR(E67=1,E67=0),G67=1,F67=1),J67,"")</f>
      </c>
      <c r="AH67" s="1">
        <f>IF(AND(OR(E67=1,E67=0),G67=2,F67=1),J67,"")</f>
      </c>
      <c r="AI67" s="1">
        <f>IF(AND(OR(E67=1,E67=0),G67=3,F67=1),J67,"")</f>
      </c>
      <c r="AJ67" s="1">
        <f>IF(AND(OR(E67=2,E67=0),G67=1,F67=0),J67,"")</f>
      </c>
      <c r="AK67" s="1">
        <f>IF(AND(OR(E67=2,E67=0),G67=2,F67=0),J67,"")</f>
      </c>
      <c r="AL67" s="1">
        <f>IF(AND(OR(E67=2,E67=0),G67=3,F67=0),J67,"")</f>
      </c>
      <c r="AM67" s="1">
        <f>IF(AND(OR(E67=2,E67=0),G67=1,F67=1),J67,"")</f>
      </c>
      <c r="AN67" s="1">
        <f>IF(AND(OR(E67=2,E67=0),G67=2,F67=1),J67,"")</f>
      </c>
      <c r="AO67" s="1">
        <f>IF(AND(OR(E67=2,E67=0),G67=3,F67=1),J67,"")</f>
      </c>
      <c r="AP67" s="1">
        <f>IF(AND(OR(E67=3,E67=0),G67=1,F67=0),J67,"")</f>
      </c>
      <c r="AQ67" s="1">
        <f>IF(AND(OR(E67=3,E67=0),G67=2,F67=0),J67,"")</f>
      </c>
      <c r="AR67" s="1">
        <f>IF(AND(OR(E67=3,E67=0),G67=3,F67=0),J67,"")</f>
      </c>
      <c r="AS67" s="1">
        <f>IF(AND(OR(E67=3,E67=0),G67=1,F67=1),J67,"")</f>
      </c>
      <c r="AT67" s="1">
        <f>IF(AND(OR(E67=3,E67=0),G67=2,F67=1),J67,"")</f>
      </c>
      <c r="AU67" s="1">
        <f>IF(AND(OR(E67=3,E67=0),G67=3,F67=1),J67,"")</f>
      </c>
    </row>
    <row customHeight="true" ht="19" r="68">
      <c r="A68" s="86" t="str">
        <v>お疲れ様、千奈ちゃん。（辛苦了千奈）</v>
      </c>
      <c r="B68" s="86" t="str"/>
      <c r="C68" s="86" t="str"/>
      <c r="D68" s="116">
        <f>持有情况!Z22-ROW()*1e-05</f>
      </c>
      <c r="E68" s="117">
        <v>0</v>
      </c>
      <c r="F68" s="117">
        <v>0</v>
      </c>
      <c r="G68" s="116">
        <v>3</v>
      </c>
      <c r="H68" s="116">
        <v>1</v>
      </c>
      <c r="I68" s="111" t="str">
        <v>辛苦了千奈</v>
      </c>
      <c r="J68" s="116">
        <f>IF(路线!C6="计算",INT((8.5/100)*路线!B11+6*路线!B14+3*路线!B23+40+20)-ROW()*1e-05,INT((8.5/100)*路线!B11+6*路线!B14+3*路线!B23+40)-ROW()*1e-05)</f>
      </c>
      <c r="L68" s="1">
        <f>IF(AND(OR(E68=1,E68=0),G68=1),D68,"")</f>
      </c>
      <c r="M68" s="1">
        <f>IF(AND(OR(E68=2,E68=0),G68=1),D68,"")</f>
      </c>
      <c r="N68" s="1">
        <f>IF(AND(OR(E68=3,E68=0),G68=1),D68,"")</f>
      </c>
      <c r="O68" s="1">
        <f>IF(AND(OR(E68=1,E68=0),G68=2),D68,"")</f>
      </c>
      <c r="P68" s="1">
        <f>IF(AND(OR(E68=2,E68=0),G68=2),D68,"")</f>
      </c>
      <c r="Q68" s="1">
        <f>IF(AND(OR(E68=3,E68=0),G68=2),D68,"")</f>
      </c>
      <c r="R68" s="1">
        <f>IF(AND(OR(E68=1,E68=0),G68=3),D68,"")</f>
      </c>
      <c r="S68" s="1">
        <f>IF(AND(OR(E68=2,E68=0),G68=3),D68,"")</f>
      </c>
      <c r="T68" s="1">
        <f>IF(AND(OR(E68=3,E68=0),G68=3),D68,"")</f>
      </c>
      <c r="U68" s="1">
        <f>IF(AND(OR(E68=1,E68=0),G68=1,F68=1),D68,"")</f>
      </c>
      <c r="V68" s="1">
        <f>IF(AND(OR(E68=1,E68=0),G68=2,F68=1),D68,"")</f>
      </c>
      <c r="W68" s="1">
        <f>IF(AND(OR(E68=1,E68=0),G68=3,F68=1),D68,"")</f>
      </c>
      <c r="X68" s="1">
        <f>IF(AND(OR(E68=2,E68=0),G68=1,F68=1),D68,"")</f>
      </c>
      <c r="Y68" s="1">
        <f>IF(AND(OR(E68=2,E68=0),G68=2,F68=1),D68,"")</f>
      </c>
      <c r="Z68" s="1">
        <f>IF(AND(OR(E68=2,E68=0),G68=3,F68=1),D68,"")</f>
      </c>
      <c r="AA68" s="1">
        <f>IF(AND(OR(E68=3,E68=0),G68=1,F68=1),D68,"")</f>
      </c>
      <c r="AB68" s="1">
        <f>IF(AND(OR(E68=3,E68=0),G68=2,F68=1),D68,"")</f>
      </c>
      <c r="AC68" s="1">
        <f>IF(AND(OR(E68=3,E68=0),G68=3,F68=1),D68,"")</f>
      </c>
      <c r="AD68" s="1">
        <f>IF(AND(OR(E68=1,E68=0),G68=1,F68=0),J68,"")</f>
      </c>
      <c r="AE68" s="1">
        <f>IF(AND(OR(E68=1,E68=0),G68=2,F68=0),J68,"")</f>
      </c>
      <c r="AF68" s="1">
        <f>IF(AND(OR(E68=1,E68=0),G68=3,F68=0),J68,"")</f>
      </c>
      <c r="AG68" s="1">
        <f>IF(AND(OR(E68=1,E68=0),G68=1,F68=1),J68,"")</f>
      </c>
      <c r="AH68" s="1">
        <f>IF(AND(OR(E68=1,E68=0),G68=2,F68=1),J68,"")</f>
      </c>
      <c r="AI68" s="1">
        <f>IF(AND(OR(E68=1,E68=0),G68=3,F68=1),J68,"")</f>
      </c>
      <c r="AJ68" s="1">
        <f>IF(AND(OR(E68=2,E68=0),G68=1,F68=0),J68,"")</f>
      </c>
      <c r="AK68" s="1">
        <f>IF(AND(OR(E68=2,E68=0),G68=2,F68=0),J68,"")</f>
      </c>
      <c r="AL68" s="1">
        <f>IF(AND(OR(E68=2,E68=0),G68=3,F68=0),J68,"")</f>
      </c>
      <c r="AM68" s="1">
        <f>IF(AND(OR(E68=2,E68=0),G68=1,F68=1),J68,"")</f>
      </c>
      <c r="AN68" s="1">
        <f>IF(AND(OR(E68=2,E68=0),G68=2,F68=1),J68,"")</f>
      </c>
      <c r="AO68" s="1">
        <f>IF(AND(OR(E68=2,E68=0),G68=3,F68=1),J68,"")</f>
      </c>
      <c r="AP68" s="1">
        <f>IF(AND(OR(E68=3,E68=0),G68=1,F68=0),J68,"")</f>
      </c>
      <c r="AQ68" s="1">
        <f>IF(AND(OR(E68=3,E68=0),G68=2,F68=0),J68,"")</f>
      </c>
      <c r="AR68" s="1">
        <f>IF(AND(OR(E68=3,E68=0),G68=3,F68=0),J68,"")</f>
      </c>
      <c r="AS68" s="1">
        <f>IF(AND(OR(E68=3,E68=0),G68=1,F68=1),J68,"")</f>
      </c>
      <c r="AT68" s="1">
        <f>IF(AND(OR(E68=3,E68=0),G68=2,F68=1),J68,"")</f>
      </c>
      <c r="AU68" s="1">
        <f>IF(AND(OR(E68=3,E68=0),G68=3,F68=1),J68,"")</f>
      </c>
    </row>
    <row customHeight="true" ht="19" r="69">
      <c r="A69" s="86" t="str">
        <v>「ア」じゃなくて「エ」！（黄补课）</v>
      </c>
      <c r="B69" s="86" t="str"/>
      <c r="C69" s="86" t="str"/>
      <c r="D69" s="116">
        <f>持有情况!Z46-ROW()*1e-05</f>
      </c>
      <c r="E69" s="116">
        <v>2</v>
      </c>
      <c r="F69" s="116">
        <v>1</v>
      </c>
      <c r="G69" s="116">
        <v>3</v>
      </c>
      <c r="H69" s="116">
        <v>1</v>
      </c>
      <c r="I69" s="111" t="str">
        <v>黄补课</v>
      </c>
      <c r="J69" s="116">
        <f>IF(路线!C6="计算",INT(60+6*路线!B14+3*路线!B24+40+20)-ROW()*1e-05,INT(60+6*路线!B14+3*路线!B24+40)-ROW()*1e-05)</f>
      </c>
      <c r="L69" s="1">
        <f>IF(AND(OR(E69=1,E69=0),G69=1),D69,"")</f>
      </c>
      <c r="M69" s="1">
        <f>IF(AND(OR(E69=2,E69=0),G69=1),D69,"")</f>
      </c>
      <c r="N69" s="1">
        <f>IF(AND(OR(E69=3,E69=0),G69=1),D69,"")</f>
      </c>
      <c r="O69" s="1">
        <f>IF(AND(OR(E69=1,E69=0),G69=2),D69,"")</f>
      </c>
      <c r="P69" s="1">
        <f>IF(AND(OR(E69=2,E69=0),G69=2),D69,"")</f>
      </c>
      <c r="Q69" s="1">
        <f>IF(AND(OR(E69=3,E69=0),G69=2),D69,"")</f>
      </c>
      <c r="R69" s="1">
        <f>IF(AND(OR(E69=1,E69=0),G69=3),D69,"")</f>
      </c>
      <c r="S69" s="1">
        <f>IF(AND(OR(E69=2,E69=0),G69=3),D69,"")</f>
      </c>
      <c r="T69" s="1">
        <f>IF(AND(OR(E69=3,E69=0),G69=3),D69,"")</f>
      </c>
      <c r="U69" s="1">
        <f>IF(AND(OR(E69=1,E69=0),G69=1,F69=1),D69,"")</f>
      </c>
      <c r="V69" s="1">
        <f>IF(AND(OR(E69=1,E69=0),G69=2,F69=1),D69,"")</f>
      </c>
      <c r="W69" s="1">
        <f>IF(AND(OR(E69=1,E69=0),G69=3,F69=1),D69,"")</f>
      </c>
      <c r="X69" s="1">
        <f>IF(AND(OR(E69=2,E69=0),G69=1,F69=1),D69,"")</f>
      </c>
      <c r="Y69" s="1">
        <f>IF(AND(OR(E69=2,E69=0),G69=2,F69=1),D69,"")</f>
      </c>
      <c r="Z69" s="1">
        <f>IF(AND(OR(E69=2,E69=0),G69=3,F69=1),D69,"")</f>
      </c>
      <c r="AA69" s="1">
        <f>IF(AND(OR(E69=3,E69=0),G69=1,F69=1),D69,"")</f>
      </c>
      <c r="AB69" s="1">
        <f>IF(AND(OR(E69=3,E69=0),G69=2,F69=1),D69,"")</f>
      </c>
      <c r="AC69" s="1">
        <f>IF(AND(OR(E69=3,E69=0),G69=3,F69=1),D69,"")</f>
      </c>
      <c r="AD69" s="1">
        <f>IF(AND(OR(E69=1,E69=0),G69=1,F69=0),J69,"")</f>
      </c>
      <c r="AE69" s="1">
        <f>IF(AND(OR(E69=1,E69=0),G69=2,F69=0),J69,"")</f>
      </c>
      <c r="AF69" s="1">
        <f>IF(AND(OR(E69=1,E69=0),G69=3,F69=0),J69,"")</f>
      </c>
      <c r="AG69" s="1">
        <f>IF(AND(OR(E69=1,E69=0),G69=1,F69=1),J69,"")</f>
      </c>
      <c r="AH69" s="1">
        <f>IF(AND(OR(E69=1,E69=0),G69=2,F69=1),J69,"")</f>
      </c>
      <c r="AI69" s="1">
        <f>IF(AND(OR(E69=1,E69=0),G69=3,F69=1),J69,"")</f>
      </c>
      <c r="AJ69" s="1">
        <f>IF(AND(OR(E69=2,E69=0),G69=1,F69=0),J69,"")</f>
      </c>
      <c r="AK69" s="1">
        <f>IF(AND(OR(E69=2,E69=0),G69=2,F69=0),J69,"")</f>
      </c>
      <c r="AL69" s="1">
        <f>IF(AND(OR(E69=2,E69=0),G69=3,F69=0),J69,"")</f>
      </c>
      <c r="AM69" s="1">
        <f>IF(AND(OR(E69=2,E69=0),G69=1,F69=1),J69,"")</f>
      </c>
      <c r="AN69" s="1">
        <f>IF(AND(OR(E69=2,E69=0),G69=2,F69=1),J69,"")</f>
      </c>
      <c r="AO69" s="1">
        <f>IF(AND(OR(E69=2,E69=0),G69=3,F69=1),J69,"")</f>
      </c>
      <c r="AP69" s="1">
        <f>IF(AND(OR(E69=3,E69=0),G69=1,F69=0),J69,"")</f>
      </c>
      <c r="AQ69" s="1">
        <f>IF(AND(OR(E69=3,E69=0),G69=2,F69=0),J69,"")</f>
      </c>
      <c r="AR69" s="1">
        <f>IF(AND(OR(E69=3,E69=0),G69=3,F69=0),J69,"")</f>
      </c>
      <c r="AS69" s="1">
        <f>IF(AND(OR(E69=3,E69=0),G69=1,F69=1),J69,"")</f>
      </c>
      <c r="AT69" s="1">
        <f>IF(AND(OR(E69=3,E69=0),G69=2,F69=1),J69,"")</f>
      </c>
      <c r="AU69" s="1">
        <f>IF(AND(OR(E69=3,E69=0),G69=3,F69=1),J69,"")</f>
      </c>
    </row>
    <row customHeight="true" ht="19" r="70">
      <c r="A70" s="75" t="str">
        <v>何やってるんだろう、（红再动）</v>
      </c>
      <c r="B70" s="75" t="str"/>
      <c r="C70" s="75" t="str"/>
      <c r="D70" s="116">
        <f>持有情况!F34-ROW()*1e-05</f>
      </c>
      <c r="E70" s="117">
        <v>0</v>
      </c>
      <c r="F70" s="116">
        <v>1</v>
      </c>
      <c r="G70" s="116">
        <v>1</v>
      </c>
      <c r="H70" s="116">
        <v>1</v>
      </c>
      <c r="I70" s="111" t="str">
        <v>红再动</v>
      </c>
      <c r="J70" s="116">
        <f>INT(60+6*路线!B14+4*(路线!B28+路线!B29)+40)-ROW()*1e-05</f>
      </c>
      <c r="L70" s="1">
        <f>IF(AND(OR(E70=1,E70=0),G70=1),D70,"")</f>
      </c>
      <c r="M70" s="1">
        <f>IF(AND(OR(E70=2,E70=0),G70=1),D70,"")</f>
      </c>
      <c r="N70" s="1">
        <f>IF(AND(OR(E70=3,E70=0),G70=1),D70,"")</f>
      </c>
      <c r="O70" s="1">
        <f>IF(AND(OR(E70=1,E70=0),G70=2),D70,"")</f>
      </c>
      <c r="P70" s="1">
        <f>IF(AND(OR(E70=2,E70=0),G70=2),D70,"")</f>
      </c>
      <c r="Q70" s="1">
        <f>IF(AND(OR(E70=3,E70=0),G70=2),D70,"")</f>
      </c>
      <c r="R70" s="1">
        <f>IF(AND(OR(E70=1,E70=0),G70=3),D70,"")</f>
      </c>
      <c r="S70" s="1">
        <f>IF(AND(OR(E70=2,E70=0),G70=3),D70,"")</f>
      </c>
      <c r="T70" s="1">
        <f>IF(AND(OR(E70=3,E70=0),G70=3),D70,"")</f>
      </c>
      <c r="U70" s="1">
        <f>IF(AND(OR(E70=1,E70=0),G70=1,F70=1),D70,"")</f>
      </c>
      <c r="V70" s="1">
        <f>IF(AND(OR(E70=1,E70=0),G70=2,F70=1),D70,"")</f>
      </c>
      <c r="W70" s="1">
        <f>IF(AND(OR(E70=1,E70=0),G70=3,F70=1),D70,"")</f>
      </c>
      <c r="X70" s="1">
        <f>IF(AND(OR(E70=2,E70=0),G70=1,F70=1),D70,"")</f>
      </c>
      <c r="Y70" s="1">
        <f>IF(AND(OR(E70=2,E70=0),G70=2,F70=1),D70,"")</f>
      </c>
      <c r="Z70" s="1">
        <f>IF(AND(OR(E70=2,E70=0),G70=3,F70=1),D70,"")</f>
      </c>
      <c r="AA70" s="1">
        <f>IF(AND(OR(E70=3,E70=0),G70=1,F70=1),D70,"")</f>
      </c>
      <c r="AB70" s="1">
        <f>IF(AND(OR(E70=3,E70=0),G70=2,F70=1),D70,"")</f>
      </c>
      <c r="AC70" s="1">
        <f>IF(AND(OR(E70=3,E70=0),G70=3,F70=1),D70,"")</f>
      </c>
      <c r="AD70" s="1">
        <f>IF(AND(OR(E70=1,E70=0),G70=1,F70=0),J70,"")</f>
      </c>
      <c r="AE70" s="1">
        <f>IF(AND(OR(E70=1,E70=0),G70=2,F70=0),J70,"")</f>
      </c>
      <c r="AF70" s="1">
        <f>IF(AND(OR(E70=1,E70=0),G70=3,F70=0),J70,"")</f>
      </c>
      <c r="AG70" s="1">
        <f>IF(AND(OR(E70=1,E70=0),G70=1,F70=1),J70,"")</f>
      </c>
      <c r="AH70" s="1">
        <f>IF(AND(OR(E70=1,E70=0),G70=2,F70=1),J70,"")</f>
      </c>
      <c r="AI70" s="1">
        <f>IF(AND(OR(E70=1,E70=0),G70=3,F70=1),J70,"")</f>
      </c>
      <c r="AJ70" s="1">
        <f>IF(AND(OR(E70=2,E70=0),G70=1,F70=0),J70,"")</f>
      </c>
      <c r="AK70" s="1">
        <f>IF(AND(OR(E70=2,E70=0),G70=2,F70=0),J70,"")</f>
      </c>
      <c r="AL70" s="1">
        <f>IF(AND(OR(E70=2,E70=0),G70=3,F70=0),J70,"")</f>
      </c>
      <c r="AM70" s="1">
        <f>IF(AND(OR(E70=2,E70=0),G70=1,F70=1),J70,"")</f>
      </c>
      <c r="AN70" s="1">
        <f>IF(AND(OR(E70=2,E70=0),G70=2,F70=1),J70,"")</f>
      </c>
      <c r="AO70" s="1">
        <f>IF(AND(OR(E70=2,E70=0),G70=3,F70=1),J70,"")</f>
      </c>
      <c r="AP70" s="1">
        <f>IF(AND(OR(E70=3,E70=0),G70=1,F70=0),J70,"")</f>
      </c>
      <c r="AQ70" s="1">
        <f>IF(AND(OR(E70=3,E70=0),G70=2,F70=0),J70,"")</f>
      </c>
      <c r="AR70" s="1">
        <f>IF(AND(OR(E70=3,E70=0),G70=3,F70=0),J70,"")</f>
      </c>
      <c r="AS70" s="1">
        <f>IF(AND(OR(E70=3,E70=0),G70=1,F70=1),J70,"")</f>
      </c>
      <c r="AT70" s="1">
        <f>IF(AND(OR(E70=3,E70=0),G70=2,F70=1),J70,"")</f>
      </c>
      <c r="AU70" s="1">
        <f>IF(AND(OR(E70=3,E70=0),G70=3,F70=1),J70,"")</f>
      </c>
    </row>
    <row customHeight="true" ht="19" r="71">
      <c r="A71" s="99" t="str">
        <v>ディカプルエックスエル！（圣诞斯大广）</v>
      </c>
      <c r="B71" s="99" t="str"/>
      <c r="C71" s="99" t="str"/>
      <c r="D71" s="116">
        <f>持有情况!AT70-ROW()*1e-05</f>
      </c>
      <c r="E71" s="116">
        <v>1</v>
      </c>
      <c r="F71" s="117">
        <v>0</v>
      </c>
      <c r="G71" s="116">
        <v>2</v>
      </c>
      <c r="H71" s="116">
        <v>1</v>
      </c>
      <c r="I71" s="111" t="str">
        <v>圣诞斯大广</v>
      </c>
      <c r="J71" s="116">
        <f>INT((6.4/100)*路线!B11+8*路线!B33+13*路线!B15+30)-ROW()*1e-05</f>
      </c>
      <c r="L71" s="1">
        <f>IF(AND(OR(E71=1,E71=0),G71=1),D71,"")</f>
      </c>
      <c r="M71" s="1">
        <f>IF(AND(OR(E71=2,E71=0),G71=1),D71,"")</f>
      </c>
      <c r="N71" s="1">
        <f>IF(AND(OR(E71=3,E71=0),G71=1),D71,"")</f>
      </c>
      <c r="O71" s="1">
        <f>IF(AND(OR(E71=1,E71=0),G71=2),D71,"")</f>
      </c>
      <c r="P71" s="1">
        <f>IF(AND(OR(E71=2,E71=0),G71=2),D71,"")</f>
      </c>
      <c r="Q71" s="1">
        <f>IF(AND(OR(E71=3,E71=0),G71=2),D71,"")</f>
      </c>
      <c r="R71" s="1">
        <f>IF(AND(OR(E71=1,E71=0),G71=3),D71,"")</f>
      </c>
      <c r="S71" s="1">
        <f>IF(AND(OR(E71=2,E71=0),G71=3),D71,"")</f>
      </c>
      <c r="T71" s="1">
        <f>IF(AND(OR(E71=3,E71=0),G71=3),D71,"")</f>
      </c>
      <c r="U71" s="1">
        <f>IF(AND(OR(E71=1,E71=0),G71=1,F71=1),D71,"")</f>
      </c>
      <c r="V71" s="1">
        <f>IF(AND(OR(E71=1,E71=0),G71=2,F71=1),D71,"")</f>
      </c>
      <c r="W71" s="1">
        <f>IF(AND(OR(E71=1,E71=0),G71=3,F71=1),D71,"")</f>
      </c>
      <c r="X71" s="1">
        <f>IF(AND(OR(E71=2,E71=0),G71=1,F71=1),D71,"")</f>
      </c>
      <c r="Y71" s="1">
        <f>IF(AND(OR(E71=2,E71=0),G71=2,F71=1),D71,"")</f>
      </c>
      <c r="Z71" s="1">
        <f>IF(AND(OR(E71=2,E71=0),G71=3,F71=1),D71,"")</f>
      </c>
      <c r="AA71" s="1">
        <f>IF(AND(OR(E71=3,E71=0),G71=1,F71=1),D71,"")</f>
      </c>
      <c r="AB71" s="1">
        <f>IF(AND(OR(E71=3,E71=0),G71=2,F71=1),D71,"")</f>
      </c>
      <c r="AC71" s="1">
        <f>IF(AND(OR(E71=3,E71=0),G71=3,F71=1),D71,"")</f>
      </c>
      <c r="AD71" s="1">
        <f>IF(AND(OR(E71=1,E71=0),G71=1,F71=0),J71,"")</f>
      </c>
      <c r="AE71" s="1">
        <f>IF(AND(OR(E71=1,E71=0),G71=2,F71=0),J71,"")</f>
      </c>
      <c r="AF71" s="1">
        <f>IF(AND(OR(E71=1,E71=0),G71=3,F71=0),J71,"")</f>
      </c>
      <c r="AG71" s="1">
        <f>IF(AND(OR(E71=1,E71=0),G71=1,F71=1),J71,"")</f>
      </c>
      <c r="AH71" s="1">
        <f>IF(AND(OR(E71=1,E71=0),G71=2,F71=1),J71,"")</f>
      </c>
      <c r="AI71" s="1">
        <f>IF(AND(OR(E71=1,E71=0),G71=3,F71=1),J71,"")</f>
      </c>
      <c r="AJ71" s="1">
        <f>IF(AND(OR(E71=2,E71=0),G71=1,F71=0),J71,"")</f>
      </c>
      <c r="AK71" s="1">
        <f>IF(AND(OR(E71=2,E71=0),G71=2,F71=0),J71,"")</f>
      </c>
      <c r="AL71" s="1">
        <f>IF(AND(OR(E71=2,E71=0),G71=3,F71=0),J71,"")</f>
      </c>
      <c r="AM71" s="1">
        <f>IF(AND(OR(E71=2,E71=0),G71=1,F71=1),J71,"")</f>
      </c>
      <c r="AN71" s="1">
        <f>IF(AND(OR(E71=2,E71=0),G71=2,F71=1),J71,"")</f>
      </c>
      <c r="AO71" s="1">
        <f>IF(AND(OR(E71=2,E71=0),G71=3,F71=1),J71,"")</f>
      </c>
      <c r="AP71" s="1">
        <f>IF(AND(OR(E71=3,E71=0),G71=1,F71=0),J71,"")</f>
      </c>
      <c r="AQ71" s="1">
        <f>IF(AND(OR(E71=3,E71=0),G71=2,F71=0),J71,"")</f>
      </c>
      <c r="AR71" s="1">
        <f>IF(AND(OR(E71=3,E71=0),G71=3,F71=0),J71,"")</f>
      </c>
      <c r="AS71" s="1">
        <f>IF(AND(OR(E71=3,E71=0),G71=1,F71=1),J71,"")</f>
      </c>
      <c r="AT71" s="1">
        <f>IF(AND(OR(E71=3,E71=0),G71=2,F71=1),J71,"")</f>
      </c>
      <c r="AU71" s="1">
        <f>IF(AND(OR(E71=3,E71=0),G71=3,F71=1),J71,"")</f>
      </c>
    </row>
    <row customHeight="true" ht="19" r="72">
      <c r="A72" s="99" t="str">
        <v>カロリー/2でハッピー×2（包子）</v>
      </c>
      <c r="B72" s="99" t="str"/>
      <c r="C72" s="99" t="str"/>
      <c r="D72" s="116">
        <f>持有情况!AT82-ROW()*1e-05</f>
      </c>
      <c r="E72" s="117">
        <v>0</v>
      </c>
      <c r="F72" s="117">
        <v>0</v>
      </c>
      <c r="G72" s="116">
        <v>2</v>
      </c>
      <c r="H72" s="117">
        <v>0</v>
      </c>
      <c r="I72" s="1" t="str"/>
      <c r="J72" s="116">
        <f>INT(45+3*(路线!B28+路线!B29)+11*路线!B34+13*路线!B15+30)-ROW()*1e-05</f>
      </c>
      <c r="L72" s="1">
        <f>IF(AND(OR(E72=1,E72=0),G72=1),D72,"")</f>
      </c>
      <c r="M72" s="1">
        <f>IF(AND(OR(E72=2,E72=0),G72=1),D72,"")</f>
      </c>
      <c r="N72" s="1">
        <f>IF(AND(OR(E72=3,E72=0),G72=1),D72,"")</f>
      </c>
      <c r="O72" s="1">
        <f>IF(AND(OR(E72=1,E72=0),G72=2),D72,"")</f>
      </c>
      <c r="P72" s="1">
        <f>IF(AND(OR(E72=2,E72=0),G72=2),D72,"")</f>
      </c>
      <c r="Q72" s="1">
        <f>IF(AND(OR(E72=3,E72=0),G72=2),D72,"")</f>
      </c>
      <c r="R72" s="1">
        <f>IF(AND(OR(E72=1,E72=0),G72=3),D72,"")</f>
      </c>
      <c r="S72" s="1">
        <f>IF(AND(OR(E72=2,E72=0),G72=3),D72,"")</f>
      </c>
      <c r="T72" s="1">
        <f>IF(AND(OR(E72=3,E72=0),G72=3),D72,"")</f>
      </c>
      <c r="U72" s="1">
        <f>IF(AND(OR(E72=1,E72=0),G72=1,F72=1),D72,"")</f>
      </c>
      <c r="V72" s="1">
        <f>IF(AND(OR(E72=1,E72=0),G72=2,F72=1),D72,"")</f>
      </c>
      <c r="W72" s="1">
        <f>IF(AND(OR(E72=1,E72=0),G72=3,F72=1),D72,"")</f>
      </c>
      <c r="X72" s="1">
        <f>IF(AND(OR(E72=2,E72=0),G72=1,F72=1),D72,"")</f>
      </c>
      <c r="Y72" s="1">
        <f>IF(AND(OR(E72=2,E72=0),G72=2,F72=1),D72,"")</f>
      </c>
      <c r="Z72" s="1">
        <f>IF(AND(OR(E72=2,E72=0),G72=3,F72=1),D72,"")</f>
      </c>
      <c r="AA72" s="1">
        <f>IF(AND(OR(E72=3,E72=0),G72=1,F72=1),D72,"")</f>
      </c>
      <c r="AB72" s="1">
        <f>IF(AND(OR(E72=3,E72=0),G72=2,F72=1),D72,"")</f>
      </c>
      <c r="AC72" s="1">
        <f>IF(AND(OR(E72=3,E72=0),G72=3,F72=1),D72,"")</f>
      </c>
      <c r="AD72" s="1">
        <f>IF(AND(OR(E72=1,E72=0),G72=1,F72=0),J72,"")</f>
      </c>
      <c r="AE72" s="1">
        <f>IF(AND(OR(E72=1,E72=0),G72=2,F72=0),J72,"")</f>
      </c>
      <c r="AF72" s="1">
        <f>IF(AND(OR(E72=1,E72=0),G72=3,F72=0),J72,"")</f>
      </c>
      <c r="AG72" s="1">
        <f>IF(AND(OR(E72=1,E72=0),G72=1,F72=1),J72,"")</f>
      </c>
      <c r="AH72" s="1">
        <f>IF(AND(OR(E72=1,E72=0),G72=2,F72=1),J72,"")</f>
      </c>
      <c r="AI72" s="1">
        <f>IF(AND(OR(E72=1,E72=0),G72=3,F72=1),J72,"")</f>
      </c>
      <c r="AJ72" s="1">
        <f>IF(AND(OR(E72=2,E72=0),G72=1,F72=0),J72,"")</f>
      </c>
      <c r="AK72" s="1">
        <f>IF(AND(OR(E72=2,E72=0),G72=2,F72=0),J72,"")</f>
      </c>
      <c r="AL72" s="1">
        <f>IF(AND(OR(E72=2,E72=0),G72=3,F72=0),J72,"")</f>
      </c>
      <c r="AM72" s="1">
        <f>IF(AND(OR(E72=2,E72=0),G72=1,F72=1),J72,"")</f>
      </c>
      <c r="AN72" s="1">
        <f>IF(AND(OR(E72=2,E72=0),G72=2,F72=1),J72,"")</f>
      </c>
      <c r="AO72" s="1">
        <f>IF(AND(OR(E72=2,E72=0),G72=3,F72=1),J72,"")</f>
      </c>
      <c r="AP72" s="1">
        <f>IF(AND(OR(E72=3,E72=0),G72=1,F72=0),J72,"")</f>
      </c>
      <c r="AQ72" s="1">
        <f>IF(AND(OR(E72=3,E72=0),G72=2,F72=0),J72,"")</f>
      </c>
      <c r="AR72" s="1">
        <f>IF(AND(OR(E72=3,E72=0),G72=3,F72=0),J72,"")</f>
      </c>
      <c r="AS72" s="1">
        <f>IF(AND(OR(E72=3,E72=0),G72=1,F72=1),J72,"")</f>
      </c>
      <c r="AT72" s="1">
        <f>IF(AND(OR(E72=3,E72=0),G72=2,F72=1),J72,"")</f>
      </c>
      <c r="AU72" s="1">
        <f>IF(AND(OR(E72=3,E72=0),G72=3,F72=1),J72,"")</f>
      </c>
    </row>
    <row customHeight="true" ht="19" r="73">
      <c r="A73" s="86" t="str">
        <v>サンマ、パタパタ（千奈做饭）</v>
      </c>
      <c r="B73" s="86" t="str"/>
      <c r="C73" s="86" t="str"/>
      <c r="D73" s="116">
        <f>持有情况!BD58-ROW()*1e-05</f>
      </c>
      <c r="E73" s="117">
        <v>0</v>
      </c>
      <c r="F73" s="117">
        <v>0</v>
      </c>
      <c r="G73" s="116">
        <v>3</v>
      </c>
      <c r="H73" s="116">
        <v>1</v>
      </c>
      <c r="I73" s="111" t="str">
        <v>千奈做饭</v>
      </c>
      <c r="J73" s="116">
        <f>IF(路线!C6="计算",INT(45+3*(路线!B28+路线!B29)+13*路线!B15+30+20)-ROW()*1e-05,INT(45+3*(路线!B28+路线!B29)+13*路线!B15+30)-ROW()*1e-05)</f>
      </c>
      <c r="L73" s="1">
        <f>IF(AND(OR(E73=1,E73=0),G73=1),D73,"")</f>
      </c>
      <c r="M73" s="1">
        <f>IF(AND(OR(E73=2,E73=0),G73=1),D73,"")</f>
      </c>
      <c r="N73" s="1">
        <f>IF(AND(OR(E73=3,E73=0),G73=1),D73,"")</f>
      </c>
      <c r="O73" s="1">
        <f>IF(AND(OR(E73=1,E73=0),G73=2),D73,"")</f>
      </c>
      <c r="P73" s="1">
        <f>IF(AND(OR(E73=2,E73=0),G73=2),D73,"")</f>
      </c>
      <c r="Q73" s="1">
        <f>IF(AND(OR(E73=3,E73=0),G73=2),D73,"")</f>
      </c>
      <c r="R73" s="1">
        <f>IF(AND(OR(E73=1,E73=0),G73=3),D73,"")</f>
      </c>
      <c r="S73" s="1">
        <f>IF(AND(OR(E73=2,E73=0),G73=3),D73,"")</f>
      </c>
      <c r="T73" s="1">
        <f>IF(AND(OR(E73=3,E73=0),G73=3),D73,"")</f>
      </c>
      <c r="U73" s="1">
        <f>IF(AND(OR(E73=1,E73=0),G73=1,F73=1),D73,"")</f>
      </c>
      <c r="V73" s="1">
        <f>IF(AND(OR(E73=1,E73=0),G73=2,F73=1),D73,"")</f>
      </c>
      <c r="W73" s="1">
        <f>IF(AND(OR(E73=1,E73=0),G73=3,F73=1),D73,"")</f>
      </c>
      <c r="X73" s="1">
        <f>IF(AND(OR(E73=2,E73=0),G73=1,F73=1),D73,"")</f>
      </c>
      <c r="Y73" s="1">
        <f>IF(AND(OR(E73=2,E73=0),G73=2,F73=1),D73,"")</f>
      </c>
      <c r="Z73" s="1">
        <f>IF(AND(OR(E73=2,E73=0),G73=3,F73=1),D73,"")</f>
      </c>
      <c r="AA73" s="1">
        <f>IF(AND(OR(E73=3,E73=0),G73=1,F73=1),D73,"")</f>
      </c>
      <c r="AB73" s="1">
        <f>IF(AND(OR(E73=3,E73=0),G73=2,F73=1),D73,"")</f>
      </c>
      <c r="AC73" s="1">
        <f>IF(AND(OR(E73=3,E73=0),G73=3,F73=1),D73,"")</f>
      </c>
      <c r="AD73" s="1">
        <f>IF(AND(OR(E73=1,E73=0),G73=1,F73=0),J73,"")</f>
      </c>
      <c r="AE73" s="1">
        <f>IF(AND(OR(E73=1,E73=0),G73=2,F73=0),J73,"")</f>
      </c>
      <c r="AF73" s="1">
        <f>IF(AND(OR(E73=1,E73=0),G73=3,F73=0),J73,"")</f>
      </c>
      <c r="AG73" s="1">
        <f>IF(AND(OR(E73=1,E73=0),G73=1,F73=1),J73,"")</f>
      </c>
      <c r="AH73" s="1">
        <f>IF(AND(OR(E73=1,E73=0),G73=2,F73=1),J73,"")</f>
      </c>
      <c r="AI73" s="1">
        <f>IF(AND(OR(E73=1,E73=0),G73=3,F73=1),J73,"")</f>
      </c>
      <c r="AJ73" s="1">
        <f>IF(AND(OR(E73=2,E73=0),G73=1,F73=0),J73,"")</f>
      </c>
      <c r="AK73" s="1">
        <f>IF(AND(OR(E73=2,E73=0),G73=2,F73=0),J73,"")</f>
      </c>
      <c r="AL73" s="1">
        <f>IF(AND(OR(E73=2,E73=0),G73=3,F73=0),J73,"")</f>
      </c>
      <c r="AM73" s="1">
        <f>IF(AND(OR(E73=2,E73=0),G73=1,F73=1),J73,"")</f>
      </c>
      <c r="AN73" s="1">
        <f>IF(AND(OR(E73=2,E73=0),G73=2,F73=1),J73,"")</f>
      </c>
      <c r="AO73" s="1">
        <f>IF(AND(OR(E73=2,E73=0),G73=3,F73=1),J73,"")</f>
      </c>
      <c r="AP73" s="1">
        <f>IF(AND(OR(E73=3,E73=0),G73=1,F73=0),J73,"")</f>
      </c>
      <c r="AQ73" s="1">
        <f>IF(AND(OR(E73=3,E73=0),G73=2,F73=0),J73,"")</f>
      </c>
      <c r="AR73" s="1">
        <f>IF(AND(OR(E73=3,E73=0),G73=3,F73=0),J73,"")</f>
      </c>
      <c r="AS73" s="1">
        <f>IF(AND(OR(E73=3,E73=0),G73=1,F73=1),J73,"")</f>
      </c>
      <c r="AT73" s="1">
        <f>IF(AND(OR(E73=3,E73=0),G73=2,F73=1),J73,"")</f>
      </c>
      <c r="AU73" s="1">
        <f>IF(AND(OR(E73=3,E73=0),G73=3,F73=1),J73,"")</f>
      </c>
    </row>
    <row customHeight="true" ht="19" r="74">
      <c r="A74" s="86" t="str">
        <v>やさしさ、あったかい（白毛哭哭）</v>
      </c>
      <c r="B74" s="86" t="str"/>
      <c r="C74" s="86" t="str"/>
      <c r="D74" s="116">
        <f>持有情况!BD40-ROW()*1e-05</f>
      </c>
      <c r="E74" s="116">
        <v>1</v>
      </c>
      <c r="F74" s="117">
        <v>0</v>
      </c>
      <c r="G74" s="116">
        <v>3</v>
      </c>
      <c r="H74" s="116">
        <v>1</v>
      </c>
      <c r="I74" s="111" t="str">
        <v>白毛哭哭</v>
      </c>
      <c r="J74" s="116">
        <f>IF(路线!C6="计算",INT(45+10*路线!B31+4*路线!B14+30+20)-ROW()*1e-05,INT(45+10*路线!B31+4*路线!B14+30)-ROW()*1e-05)</f>
      </c>
      <c r="L74" s="1">
        <f>IF(AND(OR(E74=1,E74=0),G74=1),D74,"")</f>
      </c>
      <c r="M74" s="1">
        <f>IF(AND(OR(E74=2,E74=0),G74=1),D74,"")</f>
      </c>
      <c r="N74" s="1">
        <f>IF(AND(OR(E74=3,E74=0),G74=1),D74,"")</f>
      </c>
      <c r="O74" s="1">
        <f>IF(AND(OR(E74=1,E74=0),G74=2),D74,"")</f>
      </c>
      <c r="P74" s="1">
        <f>IF(AND(OR(E74=2,E74=0),G74=2),D74,"")</f>
      </c>
      <c r="Q74" s="1">
        <f>IF(AND(OR(E74=3,E74=0),G74=2),D74,"")</f>
      </c>
      <c r="R74" s="1">
        <f>IF(AND(OR(E74=1,E74=0),G74=3),D74,"")</f>
      </c>
      <c r="S74" s="1">
        <f>IF(AND(OR(E74=2,E74=0),G74=3),D74,"")</f>
      </c>
      <c r="T74" s="1">
        <f>IF(AND(OR(E74=3,E74=0),G74=3),D74,"")</f>
      </c>
      <c r="U74" s="1">
        <f>IF(AND(OR(E74=1,E74=0),G74=1,F74=1),D74,"")</f>
      </c>
      <c r="V74" s="1">
        <f>IF(AND(OR(E74=1,E74=0),G74=2,F74=1),D74,"")</f>
      </c>
      <c r="W74" s="1">
        <f>IF(AND(OR(E74=1,E74=0),G74=3,F74=1),D74,"")</f>
      </c>
      <c r="X74" s="1">
        <f>IF(AND(OR(E74=2,E74=0),G74=1,F74=1),D74,"")</f>
      </c>
      <c r="Y74" s="1">
        <f>IF(AND(OR(E74=2,E74=0),G74=2,F74=1),D74,"")</f>
      </c>
      <c r="Z74" s="1">
        <f>IF(AND(OR(E74=2,E74=0),G74=3,F74=1),D74,"")</f>
      </c>
      <c r="AA74" s="1">
        <f>IF(AND(OR(E74=3,E74=0),G74=1,F74=1),D74,"")</f>
      </c>
      <c r="AB74" s="1">
        <f>IF(AND(OR(E74=3,E74=0),G74=2,F74=1),D74,"")</f>
      </c>
      <c r="AC74" s="1">
        <f>IF(AND(OR(E74=3,E74=0),G74=3,F74=1),D74,"")</f>
      </c>
      <c r="AD74" s="1">
        <f>IF(AND(OR(E74=1,E74=0),G74=1,F74=0),J74,"")</f>
      </c>
      <c r="AE74" s="1">
        <f>IF(AND(OR(E74=1,E74=0),G74=2,F74=0),J74,"")</f>
      </c>
      <c r="AF74" s="1">
        <f>IF(AND(OR(E74=1,E74=0),G74=3,F74=0),J74,"")</f>
      </c>
      <c r="AG74" s="1">
        <f>IF(AND(OR(E74=1,E74=0),G74=1,F74=1),J74,"")</f>
      </c>
      <c r="AH74" s="1">
        <f>IF(AND(OR(E74=1,E74=0),G74=2,F74=1),J74,"")</f>
      </c>
      <c r="AI74" s="1">
        <f>IF(AND(OR(E74=1,E74=0),G74=3,F74=1),J74,"")</f>
      </c>
      <c r="AJ74" s="1">
        <f>IF(AND(OR(E74=2,E74=0),G74=1,F74=0),J74,"")</f>
      </c>
      <c r="AK74" s="1">
        <f>IF(AND(OR(E74=2,E74=0),G74=2,F74=0),J74,"")</f>
      </c>
      <c r="AL74" s="1">
        <f>IF(AND(OR(E74=2,E74=0),G74=3,F74=0),J74,"")</f>
      </c>
      <c r="AM74" s="1">
        <f>IF(AND(OR(E74=2,E74=0),G74=1,F74=1),J74,"")</f>
      </c>
      <c r="AN74" s="1">
        <f>IF(AND(OR(E74=2,E74=0),G74=2,F74=1),J74,"")</f>
      </c>
      <c r="AO74" s="1">
        <f>IF(AND(OR(E74=2,E74=0),G74=3,F74=1),J74,"")</f>
      </c>
      <c r="AP74" s="1">
        <f>IF(AND(OR(E74=3,E74=0),G74=1,F74=0),J74,"")</f>
      </c>
      <c r="AQ74" s="1">
        <f>IF(AND(OR(E74=3,E74=0),G74=2,F74=0),J74,"")</f>
      </c>
      <c r="AR74" s="1">
        <f>IF(AND(OR(E74=3,E74=0),G74=3,F74=0),J74,"")</f>
      </c>
      <c r="AS74" s="1">
        <f>IF(AND(OR(E74=3,E74=0),G74=1,F74=1),J74,"")</f>
      </c>
      <c r="AT74" s="1">
        <f>IF(AND(OR(E74=3,E74=0),G74=2,F74=1),J74,"")</f>
      </c>
      <c r="AU74" s="1">
        <f>IF(AND(OR(E74=3,E74=0),G74=3,F74=1),J74,"")</f>
      </c>
    </row>
    <row customHeight="true" ht="19" r="75">
      <c r="A75" s="75" t="str">
        <v>ほっとけないクラスメイト（朝助）</v>
      </c>
      <c r="B75" s="75" t="str"/>
      <c r="C75" s="75" t="str"/>
      <c r="D75" s="116">
        <f>持有情况!AJ4-ROW()*1e-05</f>
      </c>
      <c r="E75" s="117">
        <v>0</v>
      </c>
      <c r="F75" s="117">
        <v>0</v>
      </c>
      <c r="G75" s="116">
        <v>1</v>
      </c>
      <c r="H75" s="117">
        <v>0</v>
      </c>
      <c r="I75" s="1" t="str"/>
      <c r="J75" s="116">
        <f>INT(45+10*路线!B31+3*(路线!B28+路线!B29)+30)-ROW()*1e-05</f>
      </c>
      <c r="L75" s="1">
        <f>IF(AND(OR(E75=1,E75=0),G75=1),D75,"")</f>
      </c>
      <c r="M75" s="1">
        <f>IF(AND(OR(E75=2,E75=0),G75=1),D75,"")</f>
      </c>
      <c r="N75" s="1">
        <f>IF(AND(OR(E75=3,E75=0),G75=1),D75,"")</f>
      </c>
      <c r="O75" s="1">
        <f>IF(AND(OR(E75=1,E75=0),G75=2),D75,"")</f>
      </c>
      <c r="P75" s="1">
        <f>IF(AND(OR(E75=2,E75=0),G75=2),D75,"")</f>
      </c>
      <c r="Q75" s="1">
        <f>IF(AND(OR(E75=3,E75=0),G75=2),D75,"")</f>
      </c>
      <c r="R75" s="1">
        <f>IF(AND(OR(E75=1,E75=0),G75=3),D75,"")</f>
      </c>
      <c r="S75" s="1">
        <f>IF(AND(OR(E75=2,E75=0),G75=3),D75,"")</f>
      </c>
      <c r="T75" s="1">
        <f>IF(AND(OR(E75=3,E75=0),G75=3),D75,"")</f>
      </c>
      <c r="U75" s="1">
        <f>IF(AND(OR(E75=1,E75=0),G75=1,F75=1),D75,"")</f>
      </c>
      <c r="V75" s="1">
        <f>IF(AND(OR(E75=1,E75=0),G75=2,F75=1),D75,"")</f>
      </c>
      <c r="W75" s="1">
        <f>IF(AND(OR(E75=1,E75=0),G75=3,F75=1),D75,"")</f>
      </c>
      <c r="X75" s="1">
        <f>IF(AND(OR(E75=2,E75=0),G75=1,F75=1),D75,"")</f>
      </c>
      <c r="Y75" s="1">
        <f>IF(AND(OR(E75=2,E75=0),G75=2,F75=1),D75,"")</f>
      </c>
      <c r="Z75" s="1">
        <f>IF(AND(OR(E75=2,E75=0),G75=3,F75=1),D75,"")</f>
      </c>
      <c r="AA75" s="1">
        <f>IF(AND(OR(E75=3,E75=0),G75=1,F75=1),D75,"")</f>
      </c>
      <c r="AB75" s="1">
        <f>IF(AND(OR(E75=3,E75=0),G75=2,F75=1),D75,"")</f>
      </c>
      <c r="AC75" s="1">
        <f>IF(AND(OR(E75=3,E75=0),G75=3,F75=1),D75,"")</f>
      </c>
      <c r="AD75" s="1">
        <f>IF(AND(OR(E75=1,E75=0),G75=1,F75=0),J75,"")</f>
      </c>
      <c r="AE75" s="1">
        <f>IF(AND(OR(E75=1,E75=0),G75=2,F75=0),J75,"")</f>
      </c>
      <c r="AF75" s="1">
        <f>IF(AND(OR(E75=1,E75=0),G75=3,F75=0),J75,"")</f>
      </c>
      <c r="AG75" s="1">
        <f>IF(AND(OR(E75=1,E75=0),G75=1,F75=1),J75,"")</f>
      </c>
      <c r="AH75" s="1">
        <f>IF(AND(OR(E75=1,E75=0),G75=2,F75=1),J75,"")</f>
      </c>
      <c r="AI75" s="1">
        <f>IF(AND(OR(E75=1,E75=0),G75=3,F75=1),J75,"")</f>
      </c>
      <c r="AJ75" s="1">
        <f>IF(AND(OR(E75=2,E75=0),G75=1,F75=0),J75,"")</f>
      </c>
      <c r="AK75" s="1">
        <f>IF(AND(OR(E75=2,E75=0),G75=2,F75=0),J75,"")</f>
      </c>
      <c r="AL75" s="1">
        <f>IF(AND(OR(E75=2,E75=0),G75=3,F75=0),J75,"")</f>
      </c>
      <c r="AM75" s="1">
        <f>IF(AND(OR(E75=2,E75=0),G75=1,F75=1),J75,"")</f>
      </c>
      <c r="AN75" s="1">
        <f>IF(AND(OR(E75=2,E75=0),G75=2,F75=1),J75,"")</f>
      </c>
      <c r="AO75" s="1">
        <f>IF(AND(OR(E75=2,E75=0),G75=3,F75=1),J75,"")</f>
      </c>
      <c r="AP75" s="1">
        <f>IF(AND(OR(E75=3,E75=0),G75=1,F75=0),J75,"")</f>
      </c>
      <c r="AQ75" s="1">
        <f>IF(AND(OR(E75=3,E75=0),G75=2,F75=0),J75,"")</f>
      </c>
      <c r="AR75" s="1">
        <f>IF(AND(OR(E75=3,E75=0),G75=3,F75=0),J75,"")</f>
      </c>
      <c r="AS75" s="1">
        <f>IF(AND(OR(E75=3,E75=0),G75=1,F75=1),J75,"")</f>
      </c>
      <c r="AT75" s="1">
        <f>IF(AND(OR(E75=3,E75=0),G75=2,F75=1),J75,"")</f>
      </c>
      <c r="AU75" s="1">
        <f>IF(AND(OR(E75=3,E75=0),G75=3,F75=1),J75,"")</f>
      </c>
    </row>
    <row customHeight="true" ht="19" r="76">
      <c r="A76" s="75" t="str">
        <v>第五種接近遭遇（电风扇）</v>
      </c>
      <c r="B76" s="75" t="str"/>
      <c r="C76" s="75" t="str"/>
      <c r="D76" s="116">
        <f>IF(路线!B4="计算",持有情况!AM46,持有情况!AJ46)-ROW()*1e-05</f>
      </c>
      <c r="E76" s="116">
        <v>1</v>
      </c>
      <c r="F76" s="117">
        <v>0</v>
      </c>
      <c r="G76" s="116">
        <v>1</v>
      </c>
      <c r="H76" s="117">
        <v>0</v>
      </c>
      <c r="I76" s="1" t="str"/>
      <c r="J76" s="116">
        <f>IF(路线!B4="计算",INT((6.4/100)*路线!B11+8*路线!B33+4*路线!B14+30+持有情况!AM45),INT((6.4/100)*路线!B11+8*路线!B33+4*路线!B14+30))-ROW()*1e-05</f>
      </c>
      <c r="L76" s="1">
        <f>IF(AND(OR(E76=1,E76=0),G76=1),D76,"")</f>
      </c>
      <c r="M76" s="1">
        <f>IF(AND(OR(E76=2,E76=0),G76=1),D76,"")</f>
      </c>
      <c r="N76" s="1">
        <f>IF(AND(OR(E76=3,E76=0),G76=1),D76,"")</f>
      </c>
      <c r="O76" s="1">
        <f>IF(AND(OR(E76=1,E76=0),G76=2),D76,"")</f>
      </c>
      <c r="P76" s="1">
        <f>IF(AND(OR(E76=2,E76=0),G76=2),D76,"")</f>
      </c>
      <c r="Q76" s="1">
        <f>IF(AND(OR(E76=3,E76=0),G76=2),D76,"")</f>
      </c>
      <c r="R76" s="1">
        <f>IF(AND(OR(E76=1,E76=0),G76=3),D76,"")</f>
      </c>
      <c r="S76" s="1">
        <f>IF(AND(OR(E76=2,E76=0),G76=3),D76,"")</f>
      </c>
      <c r="T76" s="1">
        <f>IF(AND(OR(E76=3,E76=0),G76=3),D76,"")</f>
      </c>
      <c r="U76" s="1">
        <f>IF(AND(OR(E76=1,E76=0),G76=1,F76=1),D76,"")</f>
      </c>
      <c r="V76" s="1">
        <f>IF(AND(OR(E76=1,E76=0),G76=2,F76=1),D76,"")</f>
      </c>
      <c r="W76" s="1">
        <f>IF(AND(OR(E76=1,E76=0),G76=3,F76=1),D76,"")</f>
      </c>
      <c r="X76" s="1">
        <f>IF(AND(OR(E76=2,E76=0),G76=1,F76=1),D76,"")</f>
      </c>
      <c r="Y76" s="1">
        <f>IF(AND(OR(E76=2,E76=0),G76=2,F76=1),D76,"")</f>
      </c>
      <c r="Z76" s="1">
        <f>IF(AND(OR(E76=2,E76=0),G76=3,F76=1),D76,"")</f>
      </c>
      <c r="AA76" s="1">
        <f>IF(AND(OR(E76=3,E76=0),G76=1,F76=1),D76,"")</f>
      </c>
      <c r="AB76" s="1">
        <f>IF(AND(OR(E76=3,E76=0),G76=2,F76=1),D76,"")</f>
      </c>
      <c r="AC76" s="1">
        <f>IF(AND(OR(E76=3,E76=0),G76=3,F76=1),D76,"")</f>
      </c>
      <c r="AD76" s="1">
        <f>IF(AND(OR(E76=1,E76=0),G76=1,F76=0),J76,"")</f>
      </c>
      <c r="AE76" s="1">
        <f>IF(AND(OR(E76=1,E76=0),G76=2,F76=0),J76,"")</f>
      </c>
      <c r="AF76" s="1">
        <f>IF(AND(OR(E76=1,E76=0),G76=3,F76=0),J76,"")</f>
      </c>
      <c r="AG76" s="1">
        <f>IF(AND(OR(E76=1,E76=0),G76=1,F76=1),J76,"")</f>
      </c>
      <c r="AH76" s="1">
        <f>IF(AND(OR(E76=1,E76=0),G76=2,F76=1),J76,"")</f>
      </c>
      <c r="AI76" s="1">
        <f>IF(AND(OR(E76=1,E76=0),G76=3,F76=1),J76,"")</f>
      </c>
      <c r="AJ76" s="1">
        <f>IF(AND(OR(E76=2,E76=0),G76=1,F76=0),J76,"")</f>
      </c>
      <c r="AK76" s="1">
        <f>IF(AND(OR(E76=2,E76=0),G76=2,F76=0),J76,"")</f>
      </c>
      <c r="AL76" s="1">
        <f>IF(AND(OR(E76=2,E76=0),G76=3,F76=0),J76,"")</f>
      </c>
      <c r="AM76" s="1">
        <f>IF(AND(OR(E76=2,E76=0),G76=1,F76=1),J76,"")</f>
      </c>
      <c r="AN76" s="1">
        <f>IF(AND(OR(E76=2,E76=0),G76=2,F76=1),J76,"")</f>
      </c>
      <c r="AO76" s="1">
        <f>IF(AND(OR(E76=2,E76=0),G76=3,F76=1),J76,"")</f>
      </c>
      <c r="AP76" s="1">
        <f>IF(AND(OR(E76=3,E76=0),G76=1,F76=0),J76,"")</f>
      </c>
      <c r="AQ76" s="1">
        <f>IF(AND(OR(E76=3,E76=0),G76=2,F76=0),J76,"")</f>
      </c>
      <c r="AR76" s="1">
        <f>IF(AND(OR(E76=3,E76=0),G76=3,F76=0),J76,"")</f>
      </c>
      <c r="AS76" s="1">
        <f>IF(AND(OR(E76=3,E76=0),G76=1,F76=1),J76,"")</f>
      </c>
      <c r="AT76" s="1">
        <f>IF(AND(OR(E76=3,E76=0),G76=2,F76=1),J76,"")</f>
      </c>
      <c r="AU76" s="1">
        <f>IF(AND(OR(E76=3,E76=0),G76=3,F76=1),J76,"")</f>
      </c>
    </row>
    <row customHeight="true" ht="19" r="77">
      <c r="A77" s="99" t="str">
        <v>ぐぬぬぬぬ…………！（蓝50）</v>
      </c>
      <c r="B77" s="99" t="str"/>
      <c r="C77" s="99" t="str"/>
      <c r="D77" s="116">
        <f>持有情况!P28-ROW()*1e-05</f>
      </c>
      <c r="E77" s="117">
        <v>0</v>
      </c>
      <c r="F77" s="117">
        <v>0</v>
      </c>
      <c r="G77" s="116">
        <v>2</v>
      </c>
      <c r="H77" s="116">
        <v>1</v>
      </c>
      <c r="I77" s="111" t="str">
        <v>蓝50</v>
      </c>
      <c r="J77" s="116">
        <f>INT((8.5/100)*路线!B11+17*路线!B34+3*路线!B24+40)-ROW()*1e-05</f>
      </c>
      <c r="L77" s="1">
        <f>IF(AND(OR(E77=1,E77=0),G77=1),D77,"")</f>
      </c>
      <c r="M77" s="1">
        <f>IF(AND(OR(E77=2,E77=0),G77=1),D77,"")</f>
      </c>
      <c r="N77" s="1">
        <f>IF(AND(OR(E77=3,E77=0),G77=1),D77,"")</f>
      </c>
      <c r="O77" s="1">
        <f>IF(AND(OR(E77=1,E77=0),G77=2),D77,"")</f>
      </c>
      <c r="P77" s="1">
        <f>IF(AND(OR(E77=2,E77=0),G77=2),D77,"")</f>
      </c>
      <c r="Q77" s="1">
        <f>IF(AND(OR(E77=3,E77=0),G77=2),D77,"")</f>
      </c>
      <c r="R77" s="1">
        <f>IF(AND(OR(E77=1,E77=0),G77=3),D77,"")</f>
      </c>
      <c r="S77" s="1">
        <f>IF(AND(OR(E77=2,E77=0),G77=3),D77,"")</f>
      </c>
      <c r="T77" s="1">
        <f>IF(AND(OR(E77=3,E77=0),G77=3),D77,"")</f>
      </c>
      <c r="U77" s="1">
        <f>IF(AND(OR(E77=1,E77=0),G77=1,F77=1),D77,"")</f>
      </c>
      <c r="V77" s="1">
        <f>IF(AND(OR(E77=1,E77=0),G77=2,F77=1),D77,"")</f>
      </c>
      <c r="W77" s="1">
        <f>IF(AND(OR(E77=1,E77=0),G77=3,F77=1),D77,"")</f>
      </c>
      <c r="X77" s="1">
        <f>IF(AND(OR(E77=2,E77=0),G77=1,F77=1),D77,"")</f>
      </c>
      <c r="Y77" s="1">
        <f>IF(AND(OR(E77=2,E77=0),G77=2,F77=1),D77,"")</f>
      </c>
      <c r="Z77" s="1">
        <f>IF(AND(OR(E77=2,E77=0),G77=3,F77=1),D77,"")</f>
      </c>
      <c r="AA77" s="1">
        <f>IF(AND(OR(E77=3,E77=0),G77=1,F77=1),D77,"")</f>
      </c>
      <c r="AB77" s="1">
        <f>IF(AND(OR(E77=3,E77=0),G77=2,F77=1),D77,"")</f>
      </c>
      <c r="AC77" s="1">
        <f>IF(AND(OR(E77=3,E77=0),G77=3,F77=1),D77,"")</f>
      </c>
      <c r="AD77" s="1">
        <f>IF(AND(OR(E77=1,E77=0),G77=1,F77=0),J77,"")</f>
      </c>
      <c r="AE77" s="1">
        <f>IF(AND(OR(E77=1,E77=0),G77=2,F77=0),J77,"")</f>
      </c>
      <c r="AF77" s="1">
        <f>IF(AND(OR(E77=1,E77=0),G77=3,F77=0),J77,"")</f>
      </c>
      <c r="AG77" s="1">
        <f>IF(AND(OR(E77=1,E77=0),G77=1,F77=1),J77,"")</f>
      </c>
      <c r="AH77" s="1">
        <f>IF(AND(OR(E77=1,E77=0),G77=2,F77=1),J77,"")</f>
      </c>
      <c r="AI77" s="1">
        <f>IF(AND(OR(E77=1,E77=0),G77=3,F77=1),J77,"")</f>
      </c>
      <c r="AJ77" s="1">
        <f>IF(AND(OR(E77=2,E77=0),G77=1,F77=0),J77,"")</f>
      </c>
      <c r="AK77" s="1">
        <f>IF(AND(OR(E77=2,E77=0),G77=2,F77=0),J77,"")</f>
      </c>
      <c r="AL77" s="1">
        <f>IF(AND(OR(E77=2,E77=0),G77=3,F77=0),J77,"")</f>
      </c>
      <c r="AM77" s="1">
        <f>IF(AND(OR(E77=2,E77=0),G77=1,F77=1),J77,"")</f>
      </c>
      <c r="AN77" s="1">
        <f>IF(AND(OR(E77=2,E77=0),G77=2,F77=1),J77,"")</f>
      </c>
      <c r="AO77" s="1">
        <f>IF(AND(OR(E77=2,E77=0),G77=3,F77=1),J77,"")</f>
      </c>
      <c r="AP77" s="1">
        <f>IF(AND(OR(E77=3,E77=0),G77=1,F77=0),J77,"")</f>
      </c>
      <c r="AQ77" s="1">
        <f>IF(AND(OR(E77=3,E77=0),G77=2,F77=0),J77,"")</f>
      </c>
      <c r="AR77" s="1">
        <f>IF(AND(OR(E77=3,E77=0),G77=3,F77=0),J77,"")</f>
      </c>
      <c r="AS77" s="1">
        <f>IF(AND(OR(E77=3,E77=0),G77=1,F77=1),J77,"")</f>
      </c>
      <c r="AT77" s="1">
        <f>IF(AND(OR(E77=3,E77=0),G77=2,F77=1),J77,"")</f>
      </c>
      <c r="AU77" s="1">
        <f>IF(AND(OR(E77=3,E77=0),G77=3,F77=1),J77,"")</f>
      </c>
    </row>
    <row customHeight="true" ht="19" r="78">
      <c r="A78" s="99" t="str">
        <v>まじか。（光舞台）</v>
      </c>
      <c r="B78" s="99" t="str"/>
      <c r="C78" s="99" t="str"/>
      <c r="D78" s="116">
        <f>持有情况!P10-ROW()*1e-05</f>
      </c>
      <c r="E78" s="117">
        <v>0</v>
      </c>
      <c r="F78" s="117">
        <v>0</v>
      </c>
      <c r="G78" s="116">
        <v>2</v>
      </c>
      <c r="H78" s="116">
        <v>1</v>
      </c>
      <c r="I78" s="111" t="str">
        <v>光舞台</v>
      </c>
      <c r="J78" s="116">
        <f>IF(路线!C6="计算",INT(60+6*路线!B14+11*路线!B33+40+20)-ROW()*1e-05,INT(60+6*路线!B14+11*路线!B33+40)-ROW()*1e-05)</f>
      </c>
      <c r="L78" s="1">
        <f>IF(AND(OR(E78=1,E78=0),G78=1),D78,"")</f>
      </c>
      <c r="M78" s="1">
        <f>IF(AND(OR(E78=2,E78=0),G78=1),D78,"")</f>
      </c>
      <c r="N78" s="1">
        <f>IF(AND(OR(E78=3,E78=0),G78=1),D78,"")</f>
      </c>
      <c r="O78" s="1">
        <f>IF(AND(OR(E78=1,E78=0),G78=2),D78,"")</f>
      </c>
      <c r="P78" s="1">
        <f>IF(AND(OR(E78=2,E78=0),G78=2),D78,"")</f>
      </c>
      <c r="Q78" s="1">
        <f>IF(AND(OR(E78=3,E78=0),G78=2),D78,"")</f>
      </c>
      <c r="R78" s="1">
        <f>IF(AND(OR(E78=1,E78=0),G78=3),D78,"")</f>
      </c>
      <c r="S78" s="1">
        <f>IF(AND(OR(E78=2,E78=0),G78=3),D78,"")</f>
      </c>
      <c r="T78" s="1">
        <f>IF(AND(OR(E78=3,E78=0),G78=3),D78,"")</f>
      </c>
      <c r="U78" s="1">
        <f>IF(AND(OR(E78=1,E78=0),G78=1,F78=1),D78,"")</f>
      </c>
      <c r="V78" s="1">
        <f>IF(AND(OR(E78=1,E78=0),G78=2,F78=1),D78,"")</f>
      </c>
      <c r="W78" s="1">
        <f>IF(AND(OR(E78=1,E78=0),G78=3,F78=1),D78,"")</f>
      </c>
      <c r="X78" s="1">
        <f>IF(AND(OR(E78=2,E78=0),G78=1,F78=1),D78,"")</f>
      </c>
      <c r="Y78" s="1">
        <f>IF(AND(OR(E78=2,E78=0),G78=2,F78=1),D78,"")</f>
      </c>
      <c r="Z78" s="1">
        <f>IF(AND(OR(E78=2,E78=0),G78=3,F78=1),D78,"")</f>
      </c>
      <c r="AA78" s="1">
        <f>IF(AND(OR(E78=3,E78=0),G78=1,F78=1),D78,"")</f>
      </c>
      <c r="AB78" s="1">
        <f>IF(AND(OR(E78=3,E78=0),G78=2,F78=1),D78,"")</f>
      </c>
      <c r="AC78" s="1">
        <f>IF(AND(OR(E78=3,E78=0),G78=3,F78=1),D78,"")</f>
      </c>
      <c r="AD78" s="1">
        <f>IF(AND(OR(E78=1,E78=0),G78=1,F78=0),J78,"")</f>
      </c>
      <c r="AE78" s="1">
        <f>IF(AND(OR(E78=1,E78=0),G78=2,F78=0),J78,"")</f>
      </c>
      <c r="AF78" s="1">
        <f>IF(AND(OR(E78=1,E78=0),G78=3,F78=0),J78,"")</f>
      </c>
      <c r="AG78" s="1">
        <f>IF(AND(OR(E78=1,E78=0),G78=1,F78=1),J78,"")</f>
      </c>
      <c r="AH78" s="1">
        <f>IF(AND(OR(E78=1,E78=0),G78=2,F78=1),J78,"")</f>
      </c>
      <c r="AI78" s="1">
        <f>IF(AND(OR(E78=1,E78=0),G78=3,F78=1),J78,"")</f>
      </c>
      <c r="AJ78" s="1">
        <f>IF(AND(OR(E78=2,E78=0),G78=1,F78=0),J78,"")</f>
      </c>
      <c r="AK78" s="1">
        <f>IF(AND(OR(E78=2,E78=0),G78=2,F78=0),J78,"")</f>
      </c>
      <c r="AL78" s="1">
        <f>IF(AND(OR(E78=2,E78=0),G78=3,F78=0),J78,"")</f>
      </c>
      <c r="AM78" s="1">
        <f>IF(AND(OR(E78=2,E78=0),G78=1,F78=1),J78,"")</f>
      </c>
      <c r="AN78" s="1">
        <f>IF(AND(OR(E78=2,E78=0),G78=2,F78=1),J78,"")</f>
      </c>
      <c r="AO78" s="1">
        <f>IF(AND(OR(E78=2,E78=0),G78=3,F78=1),J78,"")</f>
      </c>
      <c r="AP78" s="1">
        <f>IF(AND(OR(E78=3,E78=0),G78=1,F78=0),J78,"")</f>
      </c>
      <c r="AQ78" s="1">
        <f>IF(AND(OR(E78=3,E78=0),G78=2,F78=0),J78,"")</f>
      </c>
      <c r="AR78" s="1">
        <f>IF(AND(OR(E78=3,E78=0),G78=3,F78=0),J78,"")</f>
      </c>
      <c r="AS78" s="1">
        <f>IF(AND(OR(E78=3,E78=0),G78=1,F78=1),J78,"")</f>
      </c>
      <c r="AT78" s="1">
        <f>IF(AND(OR(E78=3,E78=0),G78=2,F78=1),J78,"")</f>
      </c>
      <c r="AU78" s="1">
        <f>IF(AND(OR(E78=3,E78=0),G78=3,F78=1),J78,"")</f>
      </c>
    </row>
    <row customHeight="true" ht="19" r="79">
      <c r="A79" s="86" t="str">
        <v>あったかいね（围巾）</v>
      </c>
      <c r="B79" s="86" t="str"/>
      <c r="C79" s="86" t="str"/>
      <c r="D79" s="116">
        <f>持有情况!Z88-ROW()*1e-05</f>
      </c>
      <c r="E79" s="116">
        <v>2</v>
      </c>
      <c r="F79" s="116">
        <v>1</v>
      </c>
      <c r="G79" s="116">
        <v>3</v>
      </c>
      <c r="H79" s="116">
        <v>1</v>
      </c>
      <c r="I79" s="111" t="str">
        <v>围巾</v>
      </c>
      <c r="J79" s="116">
        <f>INT(60+3*路线!B24+11*路线!B33+40)-ROW()*1e-05</f>
      </c>
      <c r="L79" s="1">
        <f>IF(AND(OR(E79=1,E79=0),G79=1),D79,"")</f>
      </c>
      <c r="M79" s="1">
        <f>IF(AND(OR(E79=2,E79=0),G79=1),D79,"")</f>
      </c>
      <c r="N79" s="1">
        <f>IF(AND(OR(E79=3,E79=0),G79=1),D79,"")</f>
      </c>
      <c r="O79" s="1">
        <f>IF(AND(OR(E79=1,E79=0),G79=2),D79,"")</f>
      </c>
      <c r="P79" s="1">
        <f>IF(AND(OR(E79=2,E79=0),G79=2),D79,"")</f>
      </c>
      <c r="Q79" s="1">
        <f>IF(AND(OR(E79=3,E79=0),G79=2),D79,"")</f>
      </c>
      <c r="R79" s="1">
        <f>IF(AND(OR(E79=1,E79=0),G79=3),D79,"")</f>
      </c>
      <c r="S79" s="1">
        <f>IF(AND(OR(E79=2,E79=0),G79=3),D79,"")</f>
      </c>
      <c r="T79" s="1">
        <f>IF(AND(OR(E79=3,E79=0),G79=3),D79,"")</f>
      </c>
      <c r="U79" s="1">
        <f>IF(AND(OR(E79=1,E79=0),G79=1,F79=1),D79,"")</f>
      </c>
      <c r="V79" s="1">
        <f>IF(AND(OR(E79=1,E79=0),G79=2,F79=1),D79,"")</f>
      </c>
      <c r="W79" s="1">
        <f>IF(AND(OR(E79=1,E79=0),G79=3,F79=1),D79,"")</f>
      </c>
      <c r="X79" s="1">
        <f>IF(AND(OR(E79=2,E79=0),G79=1,F79=1),D79,"")</f>
      </c>
      <c r="Y79" s="1">
        <f>IF(AND(OR(E79=2,E79=0),G79=2,F79=1),D79,"")</f>
      </c>
      <c r="Z79" s="1">
        <f>IF(AND(OR(E79=2,E79=0),G79=3,F79=1),D79,"")</f>
      </c>
      <c r="AA79" s="1">
        <f>IF(AND(OR(E79=3,E79=0),G79=1,F79=1),D79,"")</f>
      </c>
      <c r="AB79" s="1">
        <f>IF(AND(OR(E79=3,E79=0),G79=2,F79=1),D79,"")</f>
      </c>
      <c r="AC79" s="1">
        <f>IF(AND(OR(E79=3,E79=0),G79=3,F79=1),D79,"")</f>
      </c>
      <c r="AD79" s="1">
        <f>IF(AND(OR(E79=1,E79=0),G79=1,F79=0),J79,"")</f>
      </c>
      <c r="AE79" s="1">
        <f>IF(AND(OR(E79=1,E79=0),G79=2,F79=0),J79,"")</f>
      </c>
      <c r="AF79" s="1">
        <f>IF(AND(OR(E79=1,E79=0),G79=3,F79=0),J79,"")</f>
      </c>
      <c r="AG79" s="1">
        <f>IF(AND(OR(E79=1,E79=0),G79=1,F79=1),J79,"")</f>
      </c>
      <c r="AH79" s="1">
        <f>IF(AND(OR(E79=1,E79=0),G79=2,F79=1),J79,"")</f>
      </c>
      <c r="AI79" s="1">
        <f>IF(AND(OR(E79=1,E79=0),G79=3,F79=1),J79,"")</f>
      </c>
      <c r="AJ79" s="1">
        <f>IF(AND(OR(E79=2,E79=0),G79=1,F79=0),J79,"")</f>
      </c>
      <c r="AK79" s="1">
        <f>IF(AND(OR(E79=2,E79=0),G79=2,F79=0),J79,"")</f>
      </c>
      <c r="AL79" s="1">
        <f>IF(AND(OR(E79=2,E79=0),G79=3,F79=0),J79,"")</f>
      </c>
      <c r="AM79" s="1">
        <f>IF(AND(OR(E79=2,E79=0),G79=1,F79=1),J79,"")</f>
      </c>
      <c r="AN79" s="1">
        <f>IF(AND(OR(E79=2,E79=0),G79=2,F79=1),J79,"")</f>
      </c>
      <c r="AO79" s="1">
        <f>IF(AND(OR(E79=2,E79=0),G79=3,F79=1),J79,"")</f>
      </c>
      <c r="AP79" s="1">
        <f>IF(AND(OR(E79=3,E79=0),G79=1,F79=0),J79,"")</f>
      </c>
      <c r="AQ79" s="1">
        <f>IF(AND(OR(E79=3,E79=0),G79=2,F79=0),J79,"")</f>
      </c>
      <c r="AR79" s="1">
        <f>IF(AND(OR(E79=3,E79=0),G79=3,F79=0),J79,"")</f>
      </c>
      <c r="AS79" s="1">
        <f>IF(AND(OR(E79=3,E79=0),G79=1,F79=1),J79,"")</f>
      </c>
      <c r="AT79" s="1">
        <f>IF(AND(OR(E79=3,E79=0),G79=2,F79=1),J79,"")</f>
      </c>
      <c r="AU79" s="1">
        <f>IF(AND(OR(E79=3,E79=0),G79=3,F79=1),J79,"")</f>
      </c>
    </row>
    <row customHeight="true" ht="19" r="80">
      <c r="A80" s="86" t="str">
        <v>第2回教室パーティー！（一年一班）</v>
      </c>
      <c r="B80" s="86" t="str"/>
      <c r="C80" s="86" t="str"/>
      <c r="D80" s="116">
        <f>持有情况!Z40-ROW()*1e-05</f>
      </c>
      <c r="E80" s="117">
        <v>0</v>
      </c>
      <c r="F80" s="116">
        <v>1</v>
      </c>
      <c r="G80" s="116">
        <v>3</v>
      </c>
      <c r="H80" s="116">
        <v>1</v>
      </c>
      <c r="I80" s="111" t="str">
        <v>一年一班</v>
      </c>
      <c r="J80" s="116">
        <f>IF(路线!C6="计算",INT(60+4*路线!B14+17+40+20)-ROW()*1e-05,INT(60+4*路线!B14+17+40)-ROW()*1e-05)</f>
      </c>
      <c r="L80" s="1">
        <f>IF(AND(OR(E80=1,E80=0),G80=1),D80,"")</f>
      </c>
      <c r="M80" s="1">
        <f>IF(AND(OR(E80=2,E80=0),G80=1),D80,"")</f>
      </c>
      <c r="N80" s="1">
        <f>IF(AND(OR(E80=3,E80=0),G80=1),D80,"")</f>
      </c>
      <c r="O80" s="1">
        <f>IF(AND(OR(E80=1,E80=0),G80=2),D80,"")</f>
      </c>
      <c r="P80" s="1">
        <f>IF(AND(OR(E80=2,E80=0),G80=2),D80,"")</f>
      </c>
      <c r="Q80" s="1">
        <f>IF(AND(OR(E80=3,E80=0),G80=2),D80,"")</f>
      </c>
      <c r="R80" s="1">
        <f>IF(AND(OR(E80=1,E80=0),G80=3),D80,"")</f>
      </c>
      <c r="S80" s="1">
        <f>IF(AND(OR(E80=2,E80=0),G80=3),D80,"")</f>
      </c>
      <c r="T80" s="1">
        <f>IF(AND(OR(E80=3,E80=0),G80=3),D80,"")</f>
      </c>
      <c r="U80" s="1">
        <f>IF(AND(OR(E80=1,E80=0),G80=1,F80=1),D80,"")</f>
      </c>
      <c r="V80" s="1">
        <f>IF(AND(OR(E80=1,E80=0),G80=2,F80=1),D80,"")</f>
      </c>
      <c r="W80" s="1">
        <f>IF(AND(OR(E80=1,E80=0),G80=3,F80=1),D80,"")</f>
      </c>
      <c r="X80" s="1">
        <f>IF(AND(OR(E80=2,E80=0),G80=1,F80=1),D80,"")</f>
      </c>
      <c r="Y80" s="1">
        <f>IF(AND(OR(E80=2,E80=0),G80=2,F80=1),D80,"")</f>
      </c>
      <c r="Z80" s="1">
        <f>IF(AND(OR(E80=2,E80=0),G80=3,F80=1),D80,"")</f>
      </c>
      <c r="AA80" s="1">
        <f>IF(AND(OR(E80=3,E80=0),G80=1,F80=1),D80,"")</f>
      </c>
      <c r="AB80" s="1">
        <f>IF(AND(OR(E80=3,E80=0),G80=2,F80=1),D80,"")</f>
      </c>
      <c r="AC80" s="1">
        <f>IF(AND(OR(E80=3,E80=0),G80=3,F80=1),D80,"")</f>
      </c>
      <c r="AD80" s="1">
        <f>IF(AND(OR(E80=1,E80=0),G80=1,F80=0),J80,"")</f>
      </c>
      <c r="AE80" s="1">
        <f>IF(AND(OR(E80=1,E80=0),G80=2,F80=0),J80,"")</f>
      </c>
      <c r="AF80" s="1">
        <f>IF(AND(OR(E80=1,E80=0),G80=3,F80=0),J80,"")</f>
      </c>
      <c r="AG80" s="1">
        <f>IF(AND(OR(E80=1,E80=0),G80=1,F80=1),J80,"")</f>
      </c>
      <c r="AH80" s="1">
        <f>IF(AND(OR(E80=1,E80=0),G80=2,F80=1),J80,"")</f>
      </c>
      <c r="AI80" s="1">
        <f>IF(AND(OR(E80=1,E80=0),G80=3,F80=1),J80,"")</f>
      </c>
      <c r="AJ80" s="1">
        <f>IF(AND(OR(E80=2,E80=0),G80=1,F80=0),J80,"")</f>
      </c>
      <c r="AK80" s="1">
        <f>IF(AND(OR(E80=2,E80=0),G80=2,F80=0),J80,"")</f>
      </c>
      <c r="AL80" s="1">
        <f>IF(AND(OR(E80=2,E80=0),G80=3,F80=0),J80,"")</f>
      </c>
      <c r="AM80" s="1">
        <f>IF(AND(OR(E80=2,E80=0),G80=1,F80=1),J80,"")</f>
      </c>
      <c r="AN80" s="1">
        <f>IF(AND(OR(E80=2,E80=0),G80=2,F80=1),J80,"")</f>
      </c>
      <c r="AO80" s="1">
        <f>IF(AND(OR(E80=2,E80=0),G80=3,F80=1),J80,"")</f>
      </c>
      <c r="AP80" s="1">
        <f>IF(AND(OR(E80=3,E80=0),G80=1,F80=0),J80,"")</f>
      </c>
      <c r="AQ80" s="1">
        <f>IF(AND(OR(E80=3,E80=0),G80=2,F80=0),J80,"")</f>
      </c>
      <c r="AR80" s="1">
        <f>IF(AND(OR(E80=3,E80=0),G80=3,F80=0),J80,"")</f>
      </c>
      <c r="AS80" s="1">
        <f>IF(AND(OR(E80=3,E80=0),G80=1,F80=1),J80,"")</f>
      </c>
      <c r="AT80" s="1">
        <f>IF(AND(OR(E80=3,E80=0),G80=2,F80=1),J80,"")</f>
      </c>
      <c r="AU80" s="1">
        <f>IF(AND(OR(E80=3,E80=0),G80=3,F80=1),J80,"")</f>
      </c>
    </row>
    <row customHeight="true" ht="19" r="81">
      <c r="A81" s="99" t="str">
        <v>バズっちゃお！（椰树椰汁）</v>
      </c>
      <c r="B81" s="99" t="str"/>
      <c r="C81" s="99" t="str"/>
      <c r="D81" s="116">
        <f>持有情况!AT64-ROW()*1e-05</f>
      </c>
      <c r="E81" s="116">
        <v>2</v>
      </c>
      <c r="F81" s="117">
        <v>0</v>
      </c>
      <c r="G81" s="116">
        <v>2</v>
      </c>
      <c r="H81" s="116">
        <v>1</v>
      </c>
      <c r="I81" s="111" t="str">
        <v>椰树椰汁</v>
      </c>
      <c r="J81" s="116">
        <f>IF(路线!C6="计算",INT(45+8*路线!B33+11*路线!B34+10*路线!B31+30+20)-ROW()*1e-05,INT(45+8*路线!B33+11*路线!B34+10*路线!B31+30)-ROW()*1e-05)</f>
      </c>
      <c r="L81" s="1">
        <f>IF(AND(OR(E81=1,E81=0),G81=1),D81,"")</f>
      </c>
      <c r="M81" s="1">
        <f>IF(AND(OR(E81=2,E81=0),G81=1),D81,"")</f>
      </c>
      <c r="N81" s="1">
        <f>IF(AND(OR(E81=3,E81=0),G81=1),D81,"")</f>
      </c>
      <c r="O81" s="1">
        <f>IF(AND(OR(E81=1,E81=0),G81=2),D81,"")</f>
      </c>
      <c r="P81" s="1">
        <f>IF(AND(OR(E81=2,E81=0),G81=2),D81,"")</f>
      </c>
      <c r="Q81" s="1">
        <f>IF(AND(OR(E81=3,E81=0),G81=2),D81,"")</f>
      </c>
      <c r="R81" s="1">
        <f>IF(AND(OR(E81=1,E81=0),G81=3),D81,"")</f>
      </c>
      <c r="S81" s="1">
        <f>IF(AND(OR(E81=2,E81=0),G81=3),D81,"")</f>
      </c>
      <c r="T81" s="1">
        <f>IF(AND(OR(E81=3,E81=0),G81=3),D81,"")</f>
      </c>
      <c r="U81" s="1">
        <f>IF(AND(OR(E81=1,E81=0),G81=1,F81=1),D81,"")</f>
      </c>
      <c r="V81" s="1">
        <f>IF(AND(OR(E81=1,E81=0),G81=2,F81=1),D81,"")</f>
      </c>
      <c r="W81" s="1">
        <f>IF(AND(OR(E81=1,E81=0),G81=3,F81=1),D81,"")</f>
      </c>
      <c r="X81" s="1">
        <f>IF(AND(OR(E81=2,E81=0),G81=1,F81=1),D81,"")</f>
      </c>
      <c r="Y81" s="1">
        <f>IF(AND(OR(E81=2,E81=0),G81=2,F81=1),D81,"")</f>
      </c>
      <c r="Z81" s="1">
        <f>IF(AND(OR(E81=2,E81=0),G81=3,F81=1),D81,"")</f>
      </c>
      <c r="AA81" s="1">
        <f>IF(AND(OR(E81=3,E81=0),G81=1,F81=1),D81,"")</f>
      </c>
      <c r="AB81" s="1">
        <f>IF(AND(OR(E81=3,E81=0),G81=2,F81=1),D81,"")</f>
      </c>
      <c r="AC81" s="1">
        <f>IF(AND(OR(E81=3,E81=0),G81=3,F81=1),D81,"")</f>
      </c>
      <c r="AD81" s="1">
        <f>IF(AND(OR(E81=1,E81=0),G81=1,F81=0),J81,"")</f>
      </c>
      <c r="AE81" s="1">
        <f>IF(AND(OR(E81=1,E81=0),G81=2,F81=0),J81,"")</f>
      </c>
      <c r="AF81" s="1">
        <f>IF(AND(OR(E81=1,E81=0),G81=3,F81=0),J81,"")</f>
      </c>
      <c r="AG81" s="1">
        <f>IF(AND(OR(E81=1,E81=0),G81=1,F81=1),J81,"")</f>
      </c>
      <c r="AH81" s="1">
        <f>IF(AND(OR(E81=1,E81=0),G81=2,F81=1),J81,"")</f>
      </c>
      <c r="AI81" s="1">
        <f>IF(AND(OR(E81=1,E81=0),G81=3,F81=1),J81,"")</f>
      </c>
      <c r="AJ81" s="1">
        <f>IF(AND(OR(E81=2,E81=0),G81=1,F81=0),J81,"")</f>
      </c>
      <c r="AK81" s="1">
        <f>IF(AND(OR(E81=2,E81=0),G81=2,F81=0),J81,"")</f>
      </c>
      <c r="AL81" s="1">
        <f>IF(AND(OR(E81=2,E81=0),G81=3,F81=0),J81,"")</f>
      </c>
      <c r="AM81" s="1">
        <f>IF(AND(OR(E81=2,E81=0),G81=1,F81=1),J81,"")</f>
      </c>
      <c r="AN81" s="1">
        <f>IF(AND(OR(E81=2,E81=0),G81=2,F81=1),J81,"")</f>
      </c>
      <c r="AO81" s="1">
        <f>IF(AND(OR(E81=2,E81=0),G81=3,F81=1),J81,"")</f>
      </c>
      <c r="AP81" s="1">
        <f>IF(AND(OR(E81=3,E81=0),G81=1,F81=0),J81,"")</f>
      </c>
      <c r="AQ81" s="1">
        <f>IF(AND(OR(E81=3,E81=0),G81=2,F81=0),J81,"")</f>
      </c>
      <c r="AR81" s="1">
        <f>IF(AND(OR(E81=3,E81=0),G81=3,F81=0),J81,"")</f>
      </c>
      <c r="AS81" s="1">
        <f>IF(AND(OR(E81=3,E81=0),G81=1,F81=1),J81,"")</f>
      </c>
      <c r="AT81" s="1">
        <f>IF(AND(OR(E81=3,E81=0),G81=2,F81=1),J81,"")</f>
      </c>
      <c r="AU81" s="1">
        <f>IF(AND(OR(E81=3,E81=0),G81=3,F81=1),J81,"")</f>
      </c>
    </row>
    <row customHeight="true" ht="19" r="82">
      <c r="A82" s="86" t="str">
        <v>仕事のつもりで臨みなさい（学生会）</v>
      </c>
      <c r="B82" s="86" t="str"/>
      <c r="C82" s="86" t="str"/>
      <c r="D82" s="116">
        <f>持有情况!Z4-ROW()*1e-05</f>
      </c>
      <c r="E82" s="117">
        <v>0</v>
      </c>
      <c r="F82" s="117">
        <v>0</v>
      </c>
      <c r="G82" s="116">
        <v>3</v>
      </c>
      <c r="H82" s="116">
        <v>1</v>
      </c>
      <c r="I82" s="111" t="str">
        <v>学生会</v>
      </c>
      <c r="J82" s="116">
        <f>IF(路线!C6="计算",INT(60+2*路线!B24+4*路线!B14+40+20)-ROW()*1e-05,INT(60+2*路线!B24+4*路线!B14+40)-ROW()*1e-05)</f>
      </c>
      <c r="L82" s="1">
        <f>IF(AND(OR(E82=1,E82=0),G82=1),D82,"")</f>
      </c>
      <c r="M82" s="1">
        <f>IF(AND(OR(E82=2,E82=0),G82=1),D82,"")</f>
      </c>
      <c r="N82" s="1">
        <f>IF(AND(OR(E82=3,E82=0),G82=1),D82,"")</f>
      </c>
      <c r="O82" s="1">
        <f>IF(AND(OR(E82=1,E82=0),G82=2),D82,"")</f>
      </c>
      <c r="P82" s="1">
        <f>IF(AND(OR(E82=2,E82=0),G82=2),D82,"")</f>
      </c>
      <c r="Q82" s="1">
        <f>IF(AND(OR(E82=3,E82=0),G82=2),D82,"")</f>
      </c>
      <c r="R82" s="1">
        <f>IF(AND(OR(E82=1,E82=0),G82=3),D82,"")</f>
      </c>
      <c r="S82" s="1">
        <f>IF(AND(OR(E82=2,E82=0),G82=3),D82,"")</f>
      </c>
      <c r="T82" s="1">
        <f>IF(AND(OR(E82=3,E82=0),G82=3),D82,"")</f>
      </c>
      <c r="U82" s="1">
        <f>IF(AND(OR(E82=1,E82=0),G82=1,F82=1),D82,"")</f>
      </c>
      <c r="V82" s="1">
        <f>IF(AND(OR(E82=1,E82=0),G82=2,F82=1),D82,"")</f>
      </c>
      <c r="W82" s="1">
        <f>IF(AND(OR(E82=1,E82=0),G82=3,F82=1),D82,"")</f>
      </c>
      <c r="X82" s="1">
        <f>IF(AND(OR(E82=2,E82=0),G82=1,F82=1),D82,"")</f>
      </c>
      <c r="Y82" s="1">
        <f>IF(AND(OR(E82=2,E82=0),G82=2,F82=1),D82,"")</f>
      </c>
      <c r="Z82" s="1">
        <f>IF(AND(OR(E82=2,E82=0),G82=3,F82=1),D82,"")</f>
      </c>
      <c r="AA82" s="1">
        <f>IF(AND(OR(E82=3,E82=0),G82=1,F82=1),D82,"")</f>
      </c>
      <c r="AB82" s="1">
        <f>IF(AND(OR(E82=3,E82=0),G82=2,F82=1),D82,"")</f>
      </c>
      <c r="AC82" s="1">
        <f>IF(AND(OR(E82=3,E82=0),G82=3,F82=1),D82,"")</f>
      </c>
      <c r="AD82" s="1">
        <f>IF(AND(OR(E82=1,E82=0),G82=1,F82=0),J82,"")</f>
      </c>
      <c r="AE82" s="1">
        <f>IF(AND(OR(E82=1,E82=0),G82=2,F82=0),J82,"")</f>
      </c>
      <c r="AF82" s="1">
        <f>IF(AND(OR(E82=1,E82=0),G82=3,F82=0),J82,"")</f>
      </c>
      <c r="AG82" s="1">
        <f>IF(AND(OR(E82=1,E82=0),G82=1,F82=1),J82,"")</f>
      </c>
      <c r="AH82" s="1">
        <f>IF(AND(OR(E82=1,E82=0),G82=2,F82=1),J82,"")</f>
      </c>
      <c r="AI82" s="1">
        <f>IF(AND(OR(E82=1,E82=0),G82=3,F82=1),J82,"")</f>
      </c>
      <c r="AJ82" s="1">
        <f>IF(AND(OR(E82=2,E82=0),G82=1,F82=0),J82,"")</f>
      </c>
      <c r="AK82" s="1">
        <f>IF(AND(OR(E82=2,E82=0),G82=2,F82=0),J82,"")</f>
      </c>
      <c r="AL82" s="1">
        <f>IF(AND(OR(E82=2,E82=0),G82=3,F82=0),J82,"")</f>
      </c>
      <c r="AM82" s="1">
        <f>IF(AND(OR(E82=2,E82=0),G82=1,F82=1),J82,"")</f>
      </c>
      <c r="AN82" s="1">
        <f>IF(AND(OR(E82=2,E82=0),G82=2,F82=1),J82,"")</f>
      </c>
      <c r="AO82" s="1">
        <f>IF(AND(OR(E82=2,E82=0),G82=3,F82=1),J82,"")</f>
      </c>
      <c r="AP82" s="1">
        <f>IF(AND(OR(E82=3,E82=0),G82=1,F82=0),J82,"")</f>
      </c>
      <c r="AQ82" s="1">
        <f>IF(AND(OR(E82=3,E82=0),G82=2,F82=0),J82,"")</f>
      </c>
      <c r="AR82" s="1">
        <f>IF(AND(OR(E82=3,E82=0),G82=3,F82=0),J82,"")</f>
      </c>
      <c r="AS82" s="1">
        <f>IF(AND(OR(E82=3,E82=0),G82=1,F82=1),J82,"")</f>
      </c>
      <c r="AT82" s="1">
        <f>IF(AND(OR(E82=3,E82=0),G82=2,F82=1),J82,"")</f>
      </c>
      <c r="AU82" s="1">
        <f>IF(AND(OR(E82=3,E82=0),G82=3,F82=1),J82,"")</f>
      </c>
    </row>
    <row customHeight="true" ht="19" r="83">
      <c r="A83" s="86" t="str">
        <v>SSDのひみつ（悄悄话）</v>
      </c>
      <c r="B83" s="86" t="str"/>
      <c r="C83" s="86" t="str"/>
      <c r="D83" s="116">
        <f>持有情况!BD52-ROW()*1e-05</f>
      </c>
      <c r="E83" s="116">
        <v>2</v>
      </c>
      <c r="F83" s="116">
        <v>1</v>
      </c>
      <c r="G83" s="116">
        <v>3</v>
      </c>
      <c r="H83" s="117">
        <v>0</v>
      </c>
      <c r="I83" s="1" t="str"/>
      <c r="J83" s="116">
        <f>INT(45+11*路线!B34+13*路线!B15+30)-ROW()*1e-05</f>
      </c>
      <c r="L83" s="1">
        <f>IF(AND(OR(E83=1,E83=0),G83=1),D83,"")</f>
      </c>
      <c r="M83" s="1">
        <f>IF(AND(OR(E83=2,E83=0),G83=1),D83,"")</f>
      </c>
      <c r="N83" s="1">
        <f>IF(AND(OR(E83=3,E83=0),G83=1),D83,"")</f>
      </c>
      <c r="O83" s="1">
        <f>IF(AND(OR(E83=1,E83=0),G83=2),D83,"")</f>
      </c>
      <c r="P83" s="1">
        <f>IF(AND(OR(E83=2,E83=0),G83=2),D83,"")</f>
      </c>
      <c r="Q83" s="1">
        <f>IF(AND(OR(E83=3,E83=0),G83=2),D83,"")</f>
      </c>
      <c r="R83" s="1">
        <f>IF(AND(OR(E83=1,E83=0),G83=3),D83,"")</f>
      </c>
      <c r="S83" s="1">
        <f>IF(AND(OR(E83=2,E83=0),G83=3),D83,"")</f>
      </c>
      <c r="T83" s="1">
        <f>IF(AND(OR(E83=3,E83=0),G83=3),D83,"")</f>
      </c>
      <c r="U83" s="1">
        <f>IF(AND(OR(E83=1,E83=0),G83=1,F83=1),D83,"")</f>
      </c>
      <c r="V83" s="1">
        <f>IF(AND(OR(E83=1,E83=0),G83=2,F83=1),D83,"")</f>
      </c>
      <c r="W83" s="1">
        <f>IF(AND(OR(E83=1,E83=0),G83=3,F83=1),D83,"")</f>
      </c>
      <c r="X83" s="1">
        <f>IF(AND(OR(E83=2,E83=0),G83=1,F83=1),D83,"")</f>
      </c>
      <c r="Y83" s="1">
        <f>IF(AND(OR(E83=2,E83=0),G83=2,F83=1),D83,"")</f>
      </c>
      <c r="Z83" s="1">
        <f>IF(AND(OR(E83=2,E83=0),G83=3,F83=1),D83,"")</f>
      </c>
      <c r="AA83" s="1">
        <f>IF(AND(OR(E83=3,E83=0),G83=1,F83=1),D83,"")</f>
      </c>
      <c r="AB83" s="1">
        <f>IF(AND(OR(E83=3,E83=0),G83=2,F83=1),D83,"")</f>
      </c>
      <c r="AC83" s="1">
        <f>IF(AND(OR(E83=3,E83=0),G83=3,F83=1),D83,"")</f>
      </c>
      <c r="AD83" s="1">
        <f>IF(AND(OR(E83=1,E83=0),G83=1,F83=0),J83,"")</f>
      </c>
      <c r="AE83" s="1">
        <f>IF(AND(OR(E83=1,E83=0),G83=2,F83=0),J83,"")</f>
      </c>
      <c r="AF83" s="1">
        <f>IF(AND(OR(E83=1,E83=0),G83=3,F83=0),J83,"")</f>
      </c>
      <c r="AG83" s="1">
        <f>IF(AND(OR(E83=1,E83=0),G83=1,F83=1),J83,"")</f>
      </c>
      <c r="AH83" s="1">
        <f>IF(AND(OR(E83=1,E83=0),G83=2,F83=1),J83,"")</f>
      </c>
      <c r="AI83" s="1">
        <f>IF(AND(OR(E83=1,E83=0),G83=3,F83=1),J83,"")</f>
      </c>
      <c r="AJ83" s="1">
        <f>IF(AND(OR(E83=2,E83=0),G83=1,F83=0),J83,"")</f>
      </c>
      <c r="AK83" s="1">
        <f>IF(AND(OR(E83=2,E83=0),G83=2,F83=0),J83,"")</f>
      </c>
      <c r="AL83" s="1">
        <f>IF(AND(OR(E83=2,E83=0),G83=3,F83=0),J83,"")</f>
      </c>
      <c r="AM83" s="1">
        <f>IF(AND(OR(E83=2,E83=0),G83=1,F83=1),J83,"")</f>
      </c>
      <c r="AN83" s="1">
        <f>IF(AND(OR(E83=2,E83=0),G83=2,F83=1),J83,"")</f>
      </c>
      <c r="AO83" s="1">
        <f>IF(AND(OR(E83=2,E83=0),G83=3,F83=1),J83,"")</f>
      </c>
      <c r="AP83" s="1">
        <f>IF(AND(OR(E83=3,E83=0),G83=1,F83=0),J83,"")</f>
      </c>
      <c r="AQ83" s="1">
        <f>IF(AND(OR(E83=3,E83=0),G83=2,F83=0),J83,"")</f>
      </c>
      <c r="AR83" s="1">
        <f>IF(AND(OR(E83=3,E83=0),G83=3,F83=0),J83,"")</f>
      </c>
      <c r="AS83" s="1">
        <f>IF(AND(OR(E83=3,E83=0),G83=1,F83=1),J83,"")</f>
      </c>
      <c r="AT83" s="1">
        <f>IF(AND(OR(E83=3,E83=0),G83=2,F83=1),J83,"")</f>
      </c>
      <c r="AU83" s="1">
        <f>IF(AND(OR(E83=3,E83=0),G83=3,F83=1),J83,"")</f>
      </c>
    </row>
    <row customHeight="true" ht="19" r="84">
      <c r="A84" s="75" t="str">
        <v>イヤホンはんぶんこ</v>
      </c>
      <c r="B84" s="75" t="str"/>
      <c r="C84" s="75" t="str"/>
      <c r="D84" s="116">
        <f>持有情况!AJ34-ROW()*1e-05</f>
      </c>
      <c r="E84" s="116">
        <v>2</v>
      </c>
      <c r="F84" s="117">
        <v>0</v>
      </c>
      <c r="G84" s="116">
        <v>1</v>
      </c>
      <c r="H84" s="116">
        <v>1</v>
      </c>
      <c r="I84" s="1" t="str"/>
      <c r="J84" s="116">
        <f>IF(路线!C6="计算",INT(45+10*路线!B31+17*路线!B32+30+20)-ROW()*1e-05,INT(45+10*路线!B31+17*路线!B32+30)-ROW()*1e-05)</f>
      </c>
      <c r="L84" s="1">
        <f>IF(AND(OR(E84=1,E84=0),G84=1),D84,"")</f>
      </c>
      <c r="M84" s="1">
        <f>IF(AND(OR(E84=2,E84=0),G84=1),D84,"")</f>
      </c>
      <c r="N84" s="1">
        <f>IF(AND(OR(E84=3,E84=0),G84=1),D84,"")</f>
      </c>
      <c r="O84" s="1">
        <f>IF(AND(OR(E84=1,E84=0),G84=2),D84,"")</f>
      </c>
      <c r="P84" s="1">
        <f>IF(AND(OR(E84=2,E84=0),G84=2),D84,"")</f>
      </c>
      <c r="Q84" s="1">
        <f>IF(AND(OR(E84=3,E84=0),G84=2),D84,"")</f>
      </c>
      <c r="R84" s="1">
        <f>IF(AND(OR(E84=1,E84=0),G84=3),D84,"")</f>
      </c>
      <c r="S84" s="1">
        <f>IF(AND(OR(E84=2,E84=0),G84=3),D84,"")</f>
      </c>
      <c r="T84" s="1">
        <f>IF(AND(OR(E84=3,E84=0),G84=3),D84,"")</f>
      </c>
      <c r="U84" s="1">
        <f>IF(AND(OR(E84=1,E84=0),G84=1,F84=1),D84,"")</f>
      </c>
      <c r="V84" s="1">
        <f>IF(AND(OR(E84=1,E84=0),G84=2,F84=1),D84,"")</f>
      </c>
      <c r="W84" s="1">
        <f>IF(AND(OR(E84=1,E84=0),G84=3,F84=1),D84,"")</f>
      </c>
      <c r="X84" s="1">
        <f>IF(AND(OR(E84=2,E84=0),G84=1,F84=1),D84,"")</f>
      </c>
      <c r="Y84" s="1">
        <f>IF(AND(OR(E84=2,E84=0),G84=2,F84=1),D84,"")</f>
      </c>
      <c r="Z84" s="1">
        <f>IF(AND(OR(E84=2,E84=0),G84=3,F84=1),D84,"")</f>
      </c>
      <c r="AA84" s="1">
        <f>IF(AND(OR(E84=3,E84=0),G84=1,F84=1),D84,"")</f>
      </c>
      <c r="AB84" s="1">
        <f>IF(AND(OR(E84=3,E84=0),G84=2,F84=1),D84,"")</f>
      </c>
      <c r="AC84" s="1">
        <f>IF(AND(OR(E84=3,E84=0),G84=3,F84=1),D84,"")</f>
      </c>
      <c r="AD84" s="1">
        <f>IF(AND(OR(E84=1,E84=0),G84=1,F84=0),J84,"")</f>
      </c>
      <c r="AE84" s="1">
        <f>IF(AND(OR(E84=1,E84=0),G84=2,F84=0),J84,"")</f>
      </c>
      <c r="AF84" s="1">
        <f>IF(AND(OR(E84=1,E84=0),G84=3,F84=0),J84,"")</f>
      </c>
      <c r="AG84" s="1">
        <f>IF(AND(OR(E84=1,E84=0),G84=1,F84=1),J84,"")</f>
      </c>
      <c r="AH84" s="1">
        <f>IF(AND(OR(E84=1,E84=0),G84=2,F84=1),J84,"")</f>
      </c>
      <c r="AI84" s="1">
        <f>IF(AND(OR(E84=1,E84=0),G84=3,F84=1),J84,"")</f>
      </c>
      <c r="AJ84" s="1">
        <f>IF(AND(OR(E84=2,E84=0),G84=1,F84=0),J84,"")</f>
      </c>
      <c r="AK84" s="1">
        <f>IF(AND(OR(E84=2,E84=0),G84=2,F84=0),J84,"")</f>
      </c>
      <c r="AL84" s="1">
        <f>IF(AND(OR(E84=2,E84=0),G84=3,F84=0),J84,"")</f>
      </c>
      <c r="AM84" s="1">
        <f>IF(AND(OR(E84=2,E84=0),G84=1,F84=1),J84,"")</f>
      </c>
      <c r="AN84" s="1">
        <f>IF(AND(OR(E84=2,E84=0),G84=2,F84=1),J84,"")</f>
      </c>
      <c r="AO84" s="1">
        <f>IF(AND(OR(E84=2,E84=0),G84=3,F84=1),J84,"")</f>
      </c>
      <c r="AP84" s="1">
        <f>IF(AND(OR(E84=3,E84=0),G84=1,F84=0),J84,"")</f>
      </c>
      <c r="AQ84" s="1">
        <f>IF(AND(OR(E84=3,E84=0),G84=2,F84=0),J84,"")</f>
      </c>
      <c r="AR84" s="1">
        <f>IF(AND(OR(E84=3,E84=0),G84=3,F84=0),J84,"")</f>
      </c>
      <c r="AS84" s="1">
        <f>IF(AND(OR(E84=3,E84=0),G84=1,F84=1),J84,"")</f>
      </c>
      <c r="AT84" s="1">
        <f>IF(AND(OR(E84=3,E84=0),G84=2,F84=1),J84,"")</f>
      </c>
      <c r="AU84" s="1">
        <f>IF(AND(OR(E84=3,E84=0),G84=3,F84=1),J84,"")</f>
      </c>
    </row>
    <row customHeight="true" ht="19" r="85">
      <c r="A85" s="86" t="str">
        <v>まだまだのばしてー（黄老师）</v>
      </c>
      <c r="B85" s="86" t="str"/>
      <c r="C85" s="86" t="str"/>
      <c r="D85" s="116">
        <f>持有情况!BD64-ROW()*1e-05</f>
      </c>
      <c r="E85" s="117">
        <v>0</v>
      </c>
      <c r="F85" s="116">
        <v>1</v>
      </c>
      <c r="G85" s="116">
        <v>3</v>
      </c>
      <c r="H85" s="117">
        <v>0</v>
      </c>
      <c r="I85" s="1" t="str"/>
      <c r="J85" s="116">
        <f>INT(45+10*路线!B31+30)-ROW()*1e-05</f>
      </c>
      <c r="L85" s="1">
        <f>IF(AND(OR(E85=1,E85=0),G85=1),D85,"")</f>
      </c>
      <c r="M85" s="1">
        <f>IF(AND(OR(E85=2,E85=0),G85=1),D85,"")</f>
      </c>
      <c r="N85" s="1">
        <f>IF(AND(OR(E85=3,E85=0),G85=1),D85,"")</f>
      </c>
      <c r="O85" s="1">
        <f>IF(AND(OR(E85=1,E85=0),G85=2),D85,"")</f>
      </c>
      <c r="P85" s="1">
        <f>IF(AND(OR(E85=2,E85=0),G85=2),D85,"")</f>
      </c>
      <c r="Q85" s="1">
        <f>IF(AND(OR(E85=3,E85=0),G85=2),D85,"")</f>
      </c>
      <c r="R85" s="1">
        <f>IF(AND(OR(E85=1,E85=0),G85=3),D85,"")</f>
      </c>
      <c r="S85" s="1">
        <f>IF(AND(OR(E85=2,E85=0),G85=3),D85,"")</f>
      </c>
      <c r="T85" s="1">
        <f>IF(AND(OR(E85=3,E85=0),G85=3),D85,"")</f>
      </c>
      <c r="U85" s="1">
        <f>IF(AND(OR(E85=1,E85=0),G85=1,F85=1),D85,"")</f>
      </c>
      <c r="V85" s="1">
        <f>IF(AND(OR(E85=1,E85=0),G85=2,F85=1),D85,"")</f>
      </c>
      <c r="W85" s="1">
        <f>IF(AND(OR(E85=1,E85=0),G85=3,F85=1),D85,"")</f>
      </c>
      <c r="X85" s="1">
        <f>IF(AND(OR(E85=2,E85=0),G85=1,F85=1),D85,"")</f>
      </c>
      <c r="Y85" s="1">
        <f>IF(AND(OR(E85=2,E85=0),G85=2,F85=1),D85,"")</f>
      </c>
      <c r="Z85" s="1">
        <f>IF(AND(OR(E85=2,E85=0),G85=3,F85=1),D85,"")</f>
      </c>
      <c r="AA85" s="1">
        <f>IF(AND(OR(E85=3,E85=0),G85=1,F85=1),D85,"")</f>
      </c>
      <c r="AB85" s="1">
        <f>IF(AND(OR(E85=3,E85=0),G85=2,F85=1),D85,"")</f>
      </c>
      <c r="AC85" s="1">
        <f>IF(AND(OR(E85=3,E85=0),G85=3,F85=1),D85,"")</f>
      </c>
      <c r="AD85" s="1">
        <f>IF(AND(OR(E85=1,E85=0),G85=1,F85=0),J85,"")</f>
      </c>
      <c r="AE85" s="1">
        <f>IF(AND(OR(E85=1,E85=0),G85=2,F85=0),J85,"")</f>
      </c>
      <c r="AF85" s="1">
        <f>IF(AND(OR(E85=1,E85=0),G85=3,F85=0),J85,"")</f>
      </c>
      <c r="AG85" s="1">
        <f>IF(AND(OR(E85=1,E85=0),G85=1,F85=1),J85,"")</f>
      </c>
      <c r="AH85" s="1">
        <f>IF(AND(OR(E85=1,E85=0),G85=2,F85=1),J85,"")</f>
      </c>
      <c r="AI85" s="1">
        <f>IF(AND(OR(E85=1,E85=0),G85=3,F85=1),J85,"")</f>
      </c>
      <c r="AJ85" s="1">
        <f>IF(AND(OR(E85=2,E85=0),G85=1,F85=0),J85,"")</f>
      </c>
      <c r="AK85" s="1">
        <f>IF(AND(OR(E85=2,E85=0),G85=2,F85=0),J85,"")</f>
      </c>
      <c r="AL85" s="1">
        <f>IF(AND(OR(E85=2,E85=0),G85=3,F85=0),J85,"")</f>
      </c>
      <c r="AM85" s="1">
        <f>IF(AND(OR(E85=2,E85=0),G85=1,F85=1),J85,"")</f>
      </c>
      <c r="AN85" s="1">
        <f>IF(AND(OR(E85=2,E85=0),G85=2,F85=1),J85,"")</f>
      </c>
      <c r="AO85" s="1">
        <f>IF(AND(OR(E85=2,E85=0),G85=3,F85=1),J85,"")</f>
      </c>
      <c r="AP85" s="1">
        <f>IF(AND(OR(E85=3,E85=0),G85=1,F85=0),J85,"")</f>
      </c>
      <c r="AQ85" s="1">
        <f>IF(AND(OR(E85=3,E85=0),G85=2,F85=0),J85,"")</f>
      </c>
      <c r="AR85" s="1">
        <f>IF(AND(OR(E85=3,E85=0),G85=3,F85=0),J85,"")</f>
      </c>
      <c r="AS85" s="1">
        <f>IF(AND(OR(E85=3,E85=0),G85=1,F85=1),J85,"")</f>
      </c>
      <c r="AT85" s="1">
        <f>IF(AND(OR(E85=3,E85=0),G85=2,F85=1),J85,"")</f>
      </c>
      <c r="AU85" s="1">
        <f>IF(AND(OR(E85=3,E85=0),G85=3,F85=1),J85,"")</f>
      </c>
    </row>
    <row customHeight="true" ht="19" r="86">
      <c r="A86" s="86" t="str">
        <v>あなたにも作ってあげる！（黄睡）</v>
      </c>
      <c r="B86" s="86" t="str"/>
      <c r="C86" s="86" t="str"/>
      <c r="D86" s="116">
        <f>持有情况!Z34-ROW()*1e-05</f>
      </c>
      <c r="E86" s="117">
        <v>0</v>
      </c>
      <c r="F86" s="117">
        <v>0</v>
      </c>
      <c r="G86" s="116">
        <v>3</v>
      </c>
      <c r="H86" s="116">
        <v>1</v>
      </c>
      <c r="I86" s="111" t="str">
        <v>黄睡</v>
      </c>
      <c r="J86" s="116">
        <f>INT(60+6*路线!B14+22*路线!B32+40)-ROW()*1e-05</f>
      </c>
      <c r="L86" s="1">
        <f>IF(AND(OR(E86=1,E86=0),G86=1),D86,"")</f>
      </c>
      <c r="M86" s="1">
        <f>IF(AND(OR(E86=2,E86=0),G86=1),D86,"")</f>
      </c>
      <c r="N86" s="1">
        <f>IF(AND(OR(E86=3,E86=0),G86=1),D86,"")</f>
      </c>
      <c r="O86" s="1">
        <f>IF(AND(OR(E86=1,E86=0),G86=2),D86,"")</f>
      </c>
      <c r="P86" s="1">
        <f>IF(AND(OR(E86=2,E86=0),G86=2),D86,"")</f>
      </c>
      <c r="Q86" s="1">
        <f>IF(AND(OR(E86=3,E86=0),G86=2),D86,"")</f>
      </c>
      <c r="R86" s="1">
        <f>IF(AND(OR(E86=1,E86=0),G86=3),D86,"")</f>
      </c>
      <c r="S86" s="1">
        <f>IF(AND(OR(E86=2,E86=0),G86=3),D86,"")</f>
      </c>
      <c r="T86" s="1">
        <f>IF(AND(OR(E86=3,E86=0),G86=3),D86,"")</f>
      </c>
      <c r="U86" s="1">
        <f>IF(AND(OR(E86=1,E86=0),G86=1,F86=1),D86,"")</f>
      </c>
      <c r="V86" s="1">
        <f>IF(AND(OR(E86=1,E86=0),G86=2,F86=1),D86,"")</f>
      </c>
      <c r="W86" s="1">
        <f>IF(AND(OR(E86=1,E86=0),G86=3,F86=1),D86,"")</f>
      </c>
      <c r="X86" s="1">
        <f>IF(AND(OR(E86=2,E86=0),G86=1,F86=1),D86,"")</f>
      </c>
      <c r="Y86" s="1">
        <f>IF(AND(OR(E86=2,E86=0),G86=2,F86=1),D86,"")</f>
      </c>
      <c r="Z86" s="1">
        <f>IF(AND(OR(E86=2,E86=0),G86=3,F86=1),D86,"")</f>
      </c>
      <c r="AA86" s="1">
        <f>IF(AND(OR(E86=3,E86=0),G86=1,F86=1),D86,"")</f>
      </c>
      <c r="AB86" s="1">
        <f>IF(AND(OR(E86=3,E86=0),G86=2,F86=1),D86,"")</f>
      </c>
      <c r="AC86" s="1">
        <f>IF(AND(OR(E86=3,E86=0),G86=3,F86=1),D86,"")</f>
      </c>
      <c r="AD86" s="1">
        <f>IF(AND(OR(E86=1,E86=0),G86=1,F86=0),J86,"")</f>
      </c>
      <c r="AE86" s="1">
        <f>IF(AND(OR(E86=1,E86=0),G86=2,F86=0),J86,"")</f>
      </c>
      <c r="AF86" s="1">
        <f>IF(AND(OR(E86=1,E86=0),G86=3,F86=0),J86,"")</f>
      </c>
      <c r="AG86" s="1">
        <f>IF(AND(OR(E86=1,E86=0),G86=1,F86=1),J86,"")</f>
      </c>
      <c r="AH86" s="1">
        <f>IF(AND(OR(E86=1,E86=0),G86=2,F86=1),J86,"")</f>
      </c>
      <c r="AI86" s="1">
        <f>IF(AND(OR(E86=1,E86=0),G86=3,F86=1),J86,"")</f>
      </c>
      <c r="AJ86" s="1">
        <f>IF(AND(OR(E86=2,E86=0),G86=1,F86=0),J86,"")</f>
      </c>
      <c r="AK86" s="1">
        <f>IF(AND(OR(E86=2,E86=0),G86=2,F86=0),J86,"")</f>
      </c>
      <c r="AL86" s="1">
        <f>IF(AND(OR(E86=2,E86=0),G86=3,F86=0),J86,"")</f>
      </c>
      <c r="AM86" s="1">
        <f>IF(AND(OR(E86=2,E86=0),G86=1,F86=1),J86,"")</f>
      </c>
      <c r="AN86" s="1">
        <f>IF(AND(OR(E86=2,E86=0),G86=2,F86=1),J86,"")</f>
      </c>
      <c r="AO86" s="1">
        <f>IF(AND(OR(E86=2,E86=0),G86=3,F86=1),J86,"")</f>
      </c>
      <c r="AP86" s="1">
        <f>IF(AND(OR(E86=3,E86=0),G86=1,F86=0),J86,"")</f>
      </c>
      <c r="AQ86" s="1">
        <f>IF(AND(OR(E86=3,E86=0),G86=2,F86=0),J86,"")</f>
      </c>
      <c r="AR86" s="1">
        <f>IF(AND(OR(E86=3,E86=0),G86=3,F86=0),J86,"")</f>
      </c>
      <c r="AS86" s="1">
        <f>IF(AND(OR(E86=3,E86=0),G86=1,F86=1),J86,"")</f>
      </c>
      <c r="AT86" s="1">
        <f>IF(AND(OR(E86=3,E86=0),G86=2,F86=1),J86,"")</f>
      </c>
      <c r="AU86" s="1">
        <f>IF(AND(OR(E86=3,E86=0),G86=3,F86=1),J86,"")</f>
      </c>
    </row>
    <row customHeight="true" ht="19" r="87">
      <c r="A87" s="99" t="str">
        <v>どりゃぎゃ（矿泉水）</v>
      </c>
      <c r="B87" s="99" t="str"/>
      <c r="C87" s="99" t="str"/>
      <c r="D87" s="116">
        <f>IF(路线!B4="计算",持有情况!AW34,持有情况!AT34)-ROW()*1e-05</f>
      </c>
      <c r="E87" s="116">
        <v>1</v>
      </c>
      <c r="F87" s="116">
        <v>1</v>
      </c>
      <c r="G87" s="116">
        <v>2</v>
      </c>
      <c r="H87" s="117">
        <v>0</v>
      </c>
      <c r="I87" s="1" t="str"/>
      <c r="J87" s="116">
        <f>IF(路线!B4="计算",INT(45+11*路线!B34+4*路线!B14+30+持有情况!AW33),INT(45+11*路线!B34+4*路线!B14+30))-ROW()*1e-05</f>
      </c>
      <c r="L87" s="1">
        <f>IF(AND(OR(E87=1,E87=0),G87=1),D87,"")</f>
      </c>
      <c r="M87" s="1">
        <f>IF(AND(OR(E87=2,E87=0),G87=1),D87,"")</f>
      </c>
      <c r="N87" s="1">
        <f>IF(AND(OR(E87=3,E87=0),G87=1),D87,"")</f>
      </c>
      <c r="O87" s="1">
        <f>IF(AND(OR(E87=1,E87=0),G87=2),D87,"")</f>
      </c>
      <c r="P87" s="1">
        <f>IF(AND(OR(E87=2,E87=0),G87=2),D87,"")</f>
      </c>
      <c r="Q87" s="1">
        <f>IF(AND(OR(E87=3,E87=0),G87=2),D87,"")</f>
      </c>
      <c r="R87" s="1">
        <f>IF(AND(OR(E87=1,E87=0),G87=3),D87,"")</f>
      </c>
      <c r="S87" s="1">
        <f>IF(AND(OR(E87=2,E87=0),G87=3),D87,"")</f>
      </c>
      <c r="T87" s="1">
        <f>IF(AND(OR(E87=3,E87=0),G87=3),D87,"")</f>
      </c>
      <c r="U87" s="1">
        <f>IF(AND(OR(E87=1,E87=0),G87=1,F87=1),D87,"")</f>
      </c>
      <c r="V87" s="1">
        <f>IF(AND(OR(E87=1,E87=0),G87=2,F87=1),D87,"")</f>
      </c>
      <c r="W87" s="1">
        <f>IF(AND(OR(E87=1,E87=0),G87=3,F87=1),D87,"")</f>
      </c>
      <c r="X87" s="1">
        <f>IF(AND(OR(E87=2,E87=0),G87=1,F87=1),D87,"")</f>
      </c>
      <c r="Y87" s="1">
        <f>IF(AND(OR(E87=2,E87=0),G87=2,F87=1),D87,"")</f>
      </c>
      <c r="Z87" s="1">
        <f>IF(AND(OR(E87=2,E87=0),G87=3,F87=1),D87,"")</f>
      </c>
      <c r="AA87" s="1">
        <f>IF(AND(OR(E87=3,E87=0),G87=1,F87=1),D87,"")</f>
      </c>
      <c r="AB87" s="1">
        <f>IF(AND(OR(E87=3,E87=0),G87=2,F87=1),D87,"")</f>
      </c>
      <c r="AC87" s="1">
        <f>IF(AND(OR(E87=3,E87=0),G87=3,F87=1),D87,"")</f>
      </c>
      <c r="AD87" s="1">
        <f>IF(AND(OR(E87=1,E87=0),G87=1,F87=0),J87,"")</f>
      </c>
      <c r="AE87" s="1">
        <f>IF(AND(OR(E87=1,E87=0),G87=2,F87=0),J87,"")</f>
      </c>
      <c r="AF87" s="1">
        <f>IF(AND(OR(E87=1,E87=0),G87=3,F87=0),J87,"")</f>
      </c>
      <c r="AG87" s="1">
        <f>IF(AND(OR(E87=1,E87=0),G87=1,F87=1),J87,"")</f>
      </c>
      <c r="AH87" s="1">
        <f>IF(AND(OR(E87=1,E87=0),G87=2,F87=1),J87,"")</f>
      </c>
      <c r="AI87" s="1">
        <f>IF(AND(OR(E87=1,E87=0),G87=3,F87=1),J87,"")</f>
      </c>
      <c r="AJ87" s="1">
        <f>IF(AND(OR(E87=2,E87=0),G87=1,F87=0),J87,"")</f>
      </c>
      <c r="AK87" s="1">
        <f>IF(AND(OR(E87=2,E87=0),G87=2,F87=0),J87,"")</f>
      </c>
      <c r="AL87" s="1">
        <f>IF(AND(OR(E87=2,E87=0),G87=3,F87=0),J87,"")</f>
      </c>
      <c r="AM87" s="1">
        <f>IF(AND(OR(E87=2,E87=0),G87=1,F87=1),J87,"")</f>
      </c>
      <c r="AN87" s="1">
        <f>IF(AND(OR(E87=2,E87=0),G87=2,F87=1),J87,"")</f>
      </c>
      <c r="AO87" s="1">
        <f>IF(AND(OR(E87=2,E87=0),G87=3,F87=1),J87,"")</f>
      </c>
      <c r="AP87" s="1">
        <f>IF(AND(OR(E87=3,E87=0),G87=1,F87=0),J87,"")</f>
      </c>
      <c r="AQ87" s="1">
        <f>IF(AND(OR(E87=3,E87=0),G87=2,F87=0),J87,"")</f>
      </c>
      <c r="AR87" s="1">
        <f>IF(AND(OR(E87=3,E87=0),G87=3,F87=0),J87,"")</f>
      </c>
      <c r="AS87" s="1">
        <f>IF(AND(OR(E87=3,E87=0),G87=1,F87=1),J87,"")</f>
      </c>
      <c r="AT87" s="1">
        <f>IF(AND(OR(E87=3,E87=0),G87=2,F87=1),J87,"")</f>
      </c>
      <c r="AU87" s="1">
        <f>IF(AND(OR(E87=3,E87=0),G87=3,F87=1),J87,"")</f>
      </c>
    </row>
    <row customHeight="true" ht="19" r="88">
      <c r="A88" s="75" t="str">
        <v>すっかり秋色ですわね！（秋色）</v>
      </c>
      <c r="B88" s="75" t="str"/>
      <c r="C88" s="75" t="str"/>
      <c r="D88" s="116">
        <f>持有情况!F70-ROW()*1e-05</f>
      </c>
      <c r="E88" s="116">
        <v>1</v>
      </c>
      <c r="F88" s="116">
        <v>1</v>
      </c>
      <c r="G88" s="116">
        <v>1</v>
      </c>
      <c r="H88" s="117">
        <v>0</v>
      </c>
      <c r="I88" s="1" t="str"/>
      <c r="J88" s="116">
        <f>INT(60+4*路线!B25+17*路线!B34+40)-ROW()*1e-05</f>
      </c>
      <c r="L88" s="1">
        <f>IF(AND(OR(E88=1,E88=0),G88=1),D88,"")</f>
      </c>
      <c r="M88" s="1">
        <f>IF(AND(OR(E88=2,E88=0),G88=1),D88,"")</f>
      </c>
      <c r="N88" s="1">
        <f>IF(AND(OR(E88=3,E88=0),G88=1),D88,"")</f>
      </c>
      <c r="O88" s="1">
        <f>IF(AND(OR(E88=1,E88=0),G88=2),D88,"")</f>
      </c>
      <c r="P88" s="1">
        <f>IF(AND(OR(E88=2,E88=0),G88=2),D88,"")</f>
      </c>
      <c r="Q88" s="1">
        <f>IF(AND(OR(E88=3,E88=0),G88=2),D88,"")</f>
      </c>
      <c r="R88" s="1">
        <f>IF(AND(OR(E88=1,E88=0),G88=3),D88,"")</f>
      </c>
      <c r="S88" s="1">
        <f>IF(AND(OR(E88=2,E88=0),G88=3),D88,"")</f>
      </c>
      <c r="T88" s="1">
        <f>IF(AND(OR(E88=3,E88=0),G88=3),D88,"")</f>
      </c>
      <c r="U88" s="1">
        <f>IF(AND(OR(E88=1,E88=0),G88=1,F88=1),D88,"")</f>
      </c>
      <c r="V88" s="1">
        <f>IF(AND(OR(E88=1,E88=0),G88=2,F88=1),D88,"")</f>
      </c>
      <c r="W88" s="1">
        <f>IF(AND(OR(E88=1,E88=0),G88=3,F88=1),D88,"")</f>
      </c>
      <c r="X88" s="1">
        <f>IF(AND(OR(E88=2,E88=0),G88=1,F88=1),D88,"")</f>
      </c>
      <c r="Y88" s="1">
        <f>IF(AND(OR(E88=2,E88=0),G88=2,F88=1),D88,"")</f>
      </c>
      <c r="Z88" s="1">
        <f>IF(AND(OR(E88=2,E88=0),G88=3,F88=1),D88,"")</f>
      </c>
      <c r="AA88" s="1">
        <f>IF(AND(OR(E88=3,E88=0),G88=1,F88=1),D88,"")</f>
      </c>
      <c r="AB88" s="1">
        <f>IF(AND(OR(E88=3,E88=0),G88=2,F88=1),D88,"")</f>
      </c>
      <c r="AC88" s="1">
        <f>IF(AND(OR(E88=3,E88=0),G88=3,F88=1),D88,"")</f>
      </c>
      <c r="AD88" s="1">
        <f>IF(AND(OR(E88=1,E88=0),G88=1,F88=0),J88,"")</f>
      </c>
      <c r="AE88" s="1">
        <f>IF(AND(OR(E88=1,E88=0),G88=2,F88=0),J88,"")</f>
      </c>
      <c r="AF88" s="1">
        <f>IF(AND(OR(E88=1,E88=0),G88=3,F88=0),J88,"")</f>
      </c>
      <c r="AG88" s="1">
        <f>IF(AND(OR(E88=1,E88=0),G88=1,F88=1),J88,"")</f>
      </c>
      <c r="AH88" s="1">
        <f>IF(AND(OR(E88=1,E88=0),G88=2,F88=1),J88,"")</f>
      </c>
      <c r="AI88" s="1">
        <f>IF(AND(OR(E88=1,E88=0),G88=3,F88=1),J88,"")</f>
      </c>
      <c r="AJ88" s="1">
        <f>IF(AND(OR(E88=2,E88=0),G88=1,F88=0),J88,"")</f>
      </c>
      <c r="AK88" s="1">
        <f>IF(AND(OR(E88=2,E88=0),G88=2,F88=0),J88,"")</f>
      </c>
      <c r="AL88" s="1">
        <f>IF(AND(OR(E88=2,E88=0),G88=3,F88=0),J88,"")</f>
      </c>
      <c r="AM88" s="1">
        <f>IF(AND(OR(E88=2,E88=0),G88=1,F88=1),J88,"")</f>
      </c>
      <c r="AN88" s="1">
        <f>IF(AND(OR(E88=2,E88=0),G88=2,F88=1),J88,"")</f>
      </c>
      <c r="AO88" s="1">
        <f>IF(AND(OR(E88=2,E88=0),G88=3,F88=1),J88,"")</f>
      </c>
      <c r="AP88" s="1">
        <f>IF(AND(OR(E88=3,E88=0),G88=1,F88=0),J88,"")</f>
      </c>
      <c r="AQ88" s="1">
        <f>IF(AND(OR(E88=3,E88=0),G88=2,F88=0),J88,"")</f>
      </c>
      <c r="AR88" s="1">
        <f>IF(AND(OR(E88=3,E88=0),G88=3,F88=0),J88,"")</f>
      </c>
      <c r="AS88" s="1">
        <f>IF(AND(OR(E88=3,E88=0),G88=1,F88=1),J88,"")</f>
      </c>
      <c r="AT88" s="1">
        <f>IF(AND(OR(E88=3,E88=0),G88=2,F88=1),J88,"")</f>
      </c>
      <c r="AU88" s="1">
        <f>IF(AND(OR(E88=3,E88=0),G88=3,F88=1),J88,"")</f>
      </c>
    </row>
    <row customHeight="true" ht="19" r="89">
      <c r="A89" s="99" t="str">
        <v>プロデュースって大変ね（大变卡）</v>
      </c>
      <c r="B89" s="99" t="str"/>
      <c r="C89" s="99" t="str"/>
      <c r="D89" s="116">
        <f>持有情况!P70-ROW()*1e-05</f>
      </c>
      <c r="E89" s="116">
        <v>3</v>
      </c>
      <c r="F89" s="116">
        <v>1</v>
      </c>
      <c r="G89" s="116">
        <v>2</v>
      </c>
      <c r="H89" s="116">
        <v>1</v>
      </c>
      <c r="I89" s="111" t="str">
        <v>大变卡</v>
      </c>
      <c r="J89" s="116">
        <f>INT(60+17+40)-ROW()*1e-05</f>
      </c>
      <c r="L89" s="1">
        <f>IF(AND(OR(E89=1,E89=0),G89=1),D89,"")</f>
      </c>
      <c r="M89" s="1">
        <f>IF(AND(OR(E89=2,E89=0),G89=1),D89,"")</f>
      </c>
      <c r="N89" s="1">
        <f>IF(AND(OR(E89=3,E89=0),G89=1),D89,"")</f>
      </c>
      <c r="O89" s="1">
        <f>IF(AND(OR(E89=1,E89=0),G89=2),D89,"")</f>
      </c>
      <c r="P89" s="1">
        <f>IF(AND(OR(E89=2,E89=0),G89=2),D89,"")</f>
      </c>
      <c r="Q89" s="1">
        <f>IF(AND(OR(E89=3,E89=0),G89=2),D89,"")</f>
      </c>
      <c r="R89" s="1">
        <f>IF(AND(OR(E89=1,E89=0),G89=3),D89,"")</f>
      </c>
      <c r="S89" s="1">
        <f>IF(AND(OR(E89=2,E89=0),G89=3),D89,"")</f>
      </c>
      <c r="T89" s="1">
        <f>IF(AND(OR(E89=3,E89=0),G89=3),D89,"")</f>
      </c>
      <c r="U89" s="1">
        <f>IF(AND(OR(E89=1,E89=0),G89=1,F89=1),D89,"")</f>
      </c>
      <c r="V89" s="1">
        <f>IF(AND(OR(E89=1,E89=0),G89=2,F89=1),D89,"")</f>
      </c>
      <c r="W89" s="1">
        <f>IF(AND(OR(E89=1,E89=0),G89=3,F89=1),D89,"")</f>
      </c>
      <c r="X89" s="1">
        <f>IF(AND(OR(E89=2,E89=0),G89=1,F89=1),D89,"")</f>
      </c>
      <c r="Y89" s="1">
        <f>IF(AND(OR(E89=2,E89=0),G89=2,F89=1),D89,"")</f>
      </c>
      <c r="Z89" s="1">
        <f>IF(AND(OR(E89=2,E89=0),G89=3,F89=1),D89,"")</f>
      </c>
      <c r="AA89" s="1">
        <f>IF(AND(OR(E89=3,E89=0),G89=1,F89=1),D89,"")</f>
      </c>
      <c r="AB89" s="1">
        <f>IF(AND(OR(E89=3,E89=0),G89=2,F89=1),D89,"")</f>
      </c>
      <c r="AC89" s="1">
        <f>IF(AND(OR(E89=3,E89=0),G89=3,F89=1),D89,"")</f>
      </c>
      <c r="AD89" s="1">
        <f>IF(AND(OR(E89=1,E89=0),G89=1,F89=0),J89,"")</f>
      </c>
      <c r="AE89" s="1">
        <f>IF(AND(OR(E89=1,E89=0),G89=2,F89=0),J89,"")</f>
      </c>
      <c r="AF89" s="1">
        <f>IF(AND(OR(E89=1,E89=0),G89=3,F89=0),J89,"")</f>
      </c>
      <c r="AG89" s="1">
        <f>IF(AND(OR(E89=1,E89=0),G89=1,F89=1),J89,"")</f>
      </c>
      <c r="AH89" s="1">
        <f>IF(AND(OR(E89=1,E89=0),G89=2,F89=1),J89,"")</f>
      </c>
      <c r="AI89" s="1">
        <f>IF(AND(OR(E89=1,E89=0),G89=3,F89=1),J89,"")</f>
      </c>
      <c r="AJ89" s="1">
        <f>IF(AND(OR(E89=2,E89=0),G89=1,F89=0),J89,"")</f>
      </c>
      <c r="AK89" s="1">
        <f>IF(AND(OR(E89=2,E89=0),G89=2,F89=0),J89,"")</f>
      </c>
      <c r="AL89" s="1">
        <f>IF(AND(OR(E89=2,E89=0),G89=3,F89=0),J89,"")</f>
      </c>
      <c r="AM89" s="1">
        <f>IF(AND(OR(E89=2,E89=0),G89=1,F89=1),J89,"")</f>
      </c>
      <c r="AN89" s="1">
        <f>IF(AND(OR(E89=2,E89=0),G89=2,F89=1),J89,"")</f>
      </c>
      <c r="AO89" s="1">
        <f>IF(AND(OR(E89=2,E89=0),G89=3,F89=1),J89,"")</f>
      </c>
      <c r="AP89" s="1">
        <f>IF(AND(OR(E89=3,E89=0),G89=1,F89=0),J89,"")</f>
      </c>
      <c r="AQ89" s="1">
        <f>IF(AND(OR(E89=3,E89=0),G89=2,F89=0),J89,"")</f>
      </c>
      <c r="AR89" s="1">
        <f>IF(AND(OR(E89=3,E89=0),G89=3,F89=0),J89,"")</f>
      </c>
      <c r="AS89" s="1">
        <f>IF(AND(OR(E89=3,E89=0),G89=1,F89=1),J89,"")</f>
      </c>
      <c r="AT89" s="1">
        <f>IF(AND(OR(E89=3,E89=0),G89=2,F89=1),J89,"")</f>
      </c>
      <c r="AU89" s="1">
        <f>IF(AND(OR(E89=3,E89=0),G89=3,F89=1),J89,"")</f>
      </c>
    </row>
    <row customHeight="true" ht="19" r="90">
      <c r="A90" s="75" t="str">
        <v>海、楽しまなきゃ！（sr红睡）</v>
      </c>
      <c r="B90" s="75" t="str"/>
      <c r="C90" s="75" t="str"/>
      <c r="D90" s="116">
        <f>IF(路线!B4="计算",持有情况!AM40,持有情况!AJ40)-ROW()*1e-05</f>
      </c>
      <c r="E90" s="116">
        <v>2</v>
      </c>
      <c r="F90" s="117">
        <v>0</v>
      </c>
      <c r="G90" s="116">
        <v>1</v>
      </c>
      <c r="H90" s="117">
        <v>0</v>
      </c>
      <c r="I90" s="1" t="str"/>
      <c r="J90" s="116">
        <f>IF(路线!B4="计算",INT(45+17*路线!B32+30+持有情况!AM39),INT(45+17*路线!B32+30))-ROW()*1e-05</f>
      </c>
      <c r="L90" s="1">
        <f>IF(AND(OR(E90=1,E90=0),G90=1),D90,"")</f>
      </c>
      <c r="M90" s="1">
        <f>IF(AND(OR(E90=2,E90=0),G90=1),D90,"")</f>
      </c>
      <c r="N90" s="1">
        <f>IF(AND(OR(E90=3,E90=0),G90=1),D90,"")</f>
      </c>
      <c r="O90" s="1">
        <f>IF(AND(OR(E90=1,E90=0),G90=2),D90,"")</f>
      </c>
      <c r="P90" s="1">
        <f>IF(AND(OR(E90=2,E90=0),G90=2),D90,"")</f>
      </c>
      <c r="Q90" s="1">
        <f>IF(AND(OR(E90=3,E90=0),G90=2),D90,"")</f>
      </c>
      <c r="R90" s="1">
        <f>IF(AND(OR(E90=1,E90=0),G90=3),D90,"")</f>
      </c>
      <c r="S90" s="1">
        <f>IF(AND(OR(E90=2,E90=0),G90=3),D90,"")</f>
      </c>
      <c r="T90" s="1">
        <f>IF(AND(OR(E90=3,E90=0),G90=3),D90,"")</f>
      </c>
      <c r="U90" s="1">
        <f>IF(AND(OR(E90=1,E90=0),G90=1,F90=1),D90,"")</f>
      </c>
      <c r="V90" s="1">
        <f>IF(AND(OR(E90=1,E90=0),G90=2,F90=1),D90,"")</f>
      </c>
      <c r="W90" s="1">
        <f>IF(AND(OR(E90=1,E90=0),G90=3,F90=1),D90,"")</f>
      </c>
      <c r="X90" s="1">
        <f>IF(AND(OR(E90=2,E90=0),G90=1,F90=1),D90,"")</f>
      </c>
      <c r="Y90" s="1">
        <f>IF(AND(OR(E90=2,E90=0),G90=2,F90=1),D90,"")</f>
      </c>
      <c r="Z90" s="1">
        <f>IF(AND(OR(E90=2,E90=0),G90=3,F90=1),D90,"")</f>
      </c>
      <c r="AA90" s="1">
        <f>IF(AND(OR(E90=3,E90=0),G90=1,F90=1),D90,"")</f>
      </c>
      <c r="AB90" s="1">
        <f>IF(AND(OR(E90=3,E90=0),G90=2,F90=1),D90,"")</f>
      </c>
      <c r="AC90" s="1">
        <f>IF(AND(OR(E90=3,E90=0),G90=3,F90=1),D90,"")</f>
      </c>
      <c r="AD90" s="1">
        <f>IF(AND(OR(E90=1,E90=0),G90=1,F90=0),J90,"")</f>
      </c>
      <c r="AE90" s="1">
        <f>IF(AND(OR(E90=1,E90=0),G90=2,F90=0),J90,"")</f>
      </c>
      <c r="AF90" s="1">
        <f>IF(AND(OR(E90=1,E90=0),G90=3,F90=0),J90,"")</f>
      </c>
      <c r="AG90" s="1">
        <f>IF(AND(OR(E90=1,E90=0),G90=1,F90=1),J90,"")</f>
      </c>
      <c r="AH90" s="1">
        <f>IF(AND(OR(E90=1,E90=0),G90=2,F90=1),J90,"")</f>
      </c>
      <c r="AI90" s="1">
        <f>IF(AND(OR(E90=1,E90=0),G90=3,F90=1),J90,"")</f>
      </c>
      <c r="AJ90" s="1">
        <f>IF(AND(OR(E90=2,E90=0),G90=1,F90=0),J90,"")</f>
      </c>
      <c r="AK90" s="1">
        <f>IF(AND(OR(E90=2,E90=0),G90=2,F90=0),J90,"")</f>
      </c>
      <c r="AL90" s="1">
        <f>IF(AND(OR(E90=2,E90=0),G90=3,F90=0),J90,"")</f>
      </c>
      <c r="AM90" s="1">
        <f>IF(AND(OR(E90=2,E90=0),G90=1,F90=1),J90,"")</f>
      </c>
      <c r="AN90" s="1">
        <f>IF(AND(OR(E90=2,E90=0),G90=2,F90=1),J90,"")</f>
      </c>
      <c r="AO90" s="1">
        <f>IF(AND(OR(E90=2,E90=0),G90=3,F90=1),J90,"")</f>
      </c>
      <c r="AP90" s="1">
        <f>IF(AND(OR(E90=3,E90=0),G90=1,F90=0),J90,"")</f>
      </c>
      <c r="AQ90" s="1">
        <f>IF(AND(OR(E90=3,E90=0),G90=2,F90=0),J90,"")</f>
      </c>
      <c r="AR90" s="1">
        <f>IF(AND(OR(E90=3,E90=0),G90=3,F90=0),J90,"")</f>
      </c>
      <c r="AS90" s="1">
        <f>IF(AND(OR(E90=3,E90=0),G90=1,F90=1),J90,"")</f>
      </c>
      <c r="AT90" s="1">
        <f>IF(AND(OR(E90=3,E90=0),G90=2,F90=1),J90,"")</f>
      </c>
      <c r="AU90" s="1">
        <f>IF(AND(OR(E90=3,E90=0),G90=3,F90=1),J90,"")</f>
      </c>
    </row>
    <row customHeight="true" ht="19" r="91">
      <c r="A91" s="75" t="str">
        <v>1人たりとも欠ける事なく（一年二班）</v>
      </c>
      <c r="B91" s="75" t="str"/>
      <c r="C91" s="75" t="str"/>
      <c r="D91" s="116">
        <f>持有情况!F58-ROW()*1e-05</f>
      </c>
      <c r="E91" s="117">
        <v>0</v>
      </c>
      <c r="F91" s="116">
        <v>1</v>
      </c>
      <c r="G91" s="116">
        <v>1</v>
      </c>
      <c r="H91" s="116">
        <v>1</v>
      </c>
      <c r="I91" s="111" t="str">
        <v>一年二班</v>
      </c>
      <c r="J91" s="116">
        <f>INT(60+8*路线!B33+40)-ROW()*1e-05</f>
      </c>
      <c r="L91" s="1">
        <f>IF(AND(OR(E91=1,E91=0),G91=1),D91,"")</f>
      </c>
      <c r="M91" s="1">
        <f>IF(AND(OR(E91=2,E91=0),G91=1),D91,"")</f>
      </c>
      <c r="N91" s="1">
        <f>IF(AND(OR(E91=3,E91=0),G91=1),D91,"")</f>
      </c>
      <c r="O91" s="1">
        <f>IF(AND(OR(E91=1,E91=0),G91=2),D91,"")</f>
      </c>
      <c r="P91" s="1">
        <f>IF(AND(OR(E91=2,E91=0),G91=2),D91,"")</f>
      </c>
      <c r="Q91" s="1">
        <f>IF(AND(OR(E91=3,E91=0),G91=2),D91,"")</f>
      </c>
      <c r="R91" s="1">
        <f>IF(AND(OR(E91=1,E91=0),G91=3),D91,"")</f>
      </c>
      <c r="S91" s="1">
        <f>IF(AND(OR(E91=2,E91=0),G91=3),D91,"")</f>
      </c>
      <c r="T91" s="1">
        <f>IF(AND(OR(E91=3,E91=0),G91=3),D91,"")</f>
      </c>
      <c r="U91" s="1">
        <f>IF(AND(OR(E91=1,E91=0),G91=1,F91=1),D91,"")</f>
      </c>
      <c r="V91" s="1">
        <f>IF(AND(OR(E91=1,E91=0),G91=2,F91=1),D91,"")</f>
      </c>
      <c r="W91" s="1">
        <f>IF(AND(OR(E91=1,E91=0),G91=3,F91=1),D91,"")</f>
      </c>
      <c r="X91" s="1">
        <f>IF(AND(OR(E91=2,E91=0),G91=1,F91=1),D91,"")</f>
      </c>
      <c r="Y91" s="1">
        <f>IF(AND(OR(E91=2,E91=0),G91=2,F91=1),D91,"")</f>
      </c>
      <c r="Z91" s="1">
        <f>IF(AND(OR(E91=2,E91=0),G91=3,F91=1),D91,"")</f>
      </c>
      <c r="AA91" s="1">
        <f>IF(AND(OR(E91=3,E91=0),G91=1,F91=1),D91,"")</f>
      </c>
      <c r="AB91" s="1">
        <f>IF(AND(OR(E91=3,E91=0),G91=2,F91=1),D91,"")</f>
      </c>
      <c r="AC91" s="1">
        <f>IF(AND(OR(E91=3,E91=0),G91=3,F91=1),D91,"")</f>
      </c>
      <c r="AD91" s="1">
        <f>IF(AND(OR(E91=1,E91=0),G91=1,F91=0),J91,"")</f>
      </c>
      <c r="AE91" s="1">
        <f>IF(AND(OR(E91=1,E91=0),G91=2,F91=0),J91,"")</f>
      </c>
      <c r="AF91" s="1">
        <f>IF(AND(OR(E91=1,E91=0),G91=3,F91=0),J91,"")</f>
      </c>
      <c r="AG91" s="1">
        <f>IF(AND(OR(E91=1,E91=0),G91=1,F91=1),J91,"")</f>
      </c>
      <c r="AH91" s="1">
        <f>IF(AND(OR(E91=1,E91=0),G91=2,F91=1),J91,"")</f>
      </c>
      <c r="AI91" s="1">
        <f>IF(AND(OR(E91=1,E91=0),G91=3,F91=1),J91,"")</f>
      </c>
      <c r="AJ91" s="1">
        <f>IF(AND(OR(E91=2,E91=0),G91=1,F91=0),J91,"")</f>
      </c>
      <c r="AK91" s="1">
        <f>IF(AND(OR(E91=2,E91=0),G91=2,F91=0),J91,"")</f>
      </c>
      <c r="AL91" s="1">
        <f>IF(AND(OR(E91=2,E91=0),G91=3,F91=0),J91,"")</f>
      </c>
      <c r="AM91" s="1">
        <f>IF(AND(OR(E91=2,E91=0),G91=1,F91=1),J91,"")</f>
      </c>
      <c r="AN91" s="1">
        <f>IF(AND(OR(E91=2,E91=0),G91=2,F91=1),J91,"")</f>
      </c>
      <c r="AO91" s="1">
        <f>IF(AND(OR(E91=2,E91=0),G91=3,F91=1),J91,"")</f>
      </c>
      <c r="AP91" s="1">
        <f>IF(AND(OR(E91=3,E91=0),G91=1,F91=0),J91,"")</f>
      </c>
      <c r="AQ91" s="1">
        <f>IF(AND(OR(E91=3,E91=0),G91=2,F91=0),J91,"")</f>
      </c>
      <c r="AR91" s="1">
        <f>IF(AND(OR(E91=3,E91=0),G91=3,F91=0),J91,"")</f>
      </c>
      <c r="AS91" s="1">
        <f>IF(AND(OR(E91=3,E91=0),G91=1,F91=1),J91,"")</f>
      </c>
      <c r="AT91" s="1">
        <f>IF(AND(OR(E91=3,E91=0),G91=2,F91=1),J91,"")</f>
      </c>
      <c r="AU91" s="1">
        <f>IF(AND(OR(E91=3,E91=0),G91=3,F91=1),J91,"")</f>
      </c>
    </row>
    <row customHeight="true" ht="19" r="92">
      <c r="A92" s="75" t="str">
        <v>のらりくらりしっかり</v>
      </c>
      <c r="B92" s="75" t="str"/>
      <c r="C92" s="75" t="str"/>
      <c r="D92" s="116">
        <f>持有情况!AJ22-ROW()*1e-05</f>
      </c>
      <c r="E92" s="117">
        <v>0</v>
      </c>
      <c r="F92" s="117">
        <v>0</v>
      </c>
      <c r="G92" s="116">
        <v>1</v>
      </c>
      <c r="H92" s="116">
        <v>1</v>
      </c>
      <c r="I92" s="1" t="str"/>
      <c r="J92" s="116">
        <f>IF(路线!C6="计算",INT((6.4/100)*路线!B11+11*路线!B34+4*路线!B14+30+20)-ROW()*1e-05,INT((6.4/100)*路线!B11+11*路线!B34+4*路线!B14+30)-ROW()*1e-05)</f>
      </c>
      <c r="L92" s="1">
        <f>IF(AND(OR(E92=1,E92=0),G92=1),D92,"")</f>
      </c>
      <c r="M92" s="1">
        <f>IF(AND(OR(E92=2,E92=0),G92=1),D92,"")</f>
      </c>
      <c r="N92" s="1">
        <f>IF(AND(OR(E92=3,E92=0),G92=1),D92,"")</f>
      </c>
      <c r="O92" s="1">
        <f>IF(AND(OR(E92=1,E92=0),G92=2),D92,"")</f>
      </c>
      <c r="P92" s="1">
        <f>IF(AND(OR(E92=2,E92=0),G92=2),D92,"")</f>
      </c>
      <c r="Q92" s="1">
        <f>IF(AND(OR(E92=3,E92=0),G92=2),D92,"")</f>
      </c>
      <c r="R92" s="1">
        <f>IF(AND(OR(E92=1,E92=0),G92=3),D92,"")</f>
      </c>
      <c r="S92" s="1">
        <f>IF(AND(OR(E92=2,E92=0),G92=3),D92,"")</f>
      </c>
      <c r="T92" s="1">
        <f>IF(AND(OR(E92=3,E92=0),G92=3),D92,"")</f>
      </c>
      <c r="U92" s="1">
        <f>IF(AND(OR(E92=1,E92=0),G92=1,F92=1),D92,"")</f>
      </c>
      <c r="V92" s="1">
        <f>IF(AND(OR(E92=1,E92=0),G92=2,F92=1),D92,"")</f>
      </c>
      <c r="W92" s="1">
        <f>IF(AND(OR(E92=1,E92=0),G92=3,F92=1),D92,"")</f>
      </c>
      <c r="X92" s="1">
        <f>IF(AND(OR(E92=2,E92=0),G92=1,F92=1),D92,"")</f>
      </c>
      <c r="Y92" s="1">
        <f>IF(AND(OR(E92=2,E92=0),G92=2,F92=1),D92,"")</f>
      </c>
      <c r="Z92" s="1">
        <f>IF(AND(OR(E92=2,E92=0),G92=3,F92=1),D92,"")</f>
      </c>
      <c r="AA92" s="1">
        <f>IF(AND(OR(E92=3,E92=0),G92=1,F92=1),D92,"")</f>
      </c>
      <c r="AB92" s="1">
        <f>IF(AND(OR(E92=3,E92=0),G92=2,F92=1),D92,"")</f>
      </c>
      <c r="AC92" s="1">
        <f>IF(AND(OR(E92=3,E92=0),G92=3,F92=1),D92,"")</f>
      </c>
      <c r="AD92" s="1">
        <f>IF(AND(OR(E92=1,E92=0),G92=1,F92=0),J92,"")</f>
      </c>
      <c r="AE92" s="1">
        <f>IF(AND(OR(E92=1,E92=0),G92=2,F92=0),J92,"")</f>
      </c>
      <c r="AF92" s="1">
        <f>IF(AND(OR(E92=1,E92=0),G92=3,F92=0),J92,"")</f>
      </c>
      <c r="AG92" s="1">
        <f>IF(AND(OR(E92=1,E92=0),G92=1,F92=1),J92,"")</f>
      </c>
      <c r="AH92" s="1">
        <f>IF(AND(OR(E92=1,E92=0),G92=2,F92=1),J92,"")</f>
      </c>
      <c r="AI92" s="1">
        <f>IF(AND(OR(E92=1,E92=0),G92=3,F92=1),J92,"")</f>
      </c>
      <c r="AJ92" s="1">
        <f>IF(AND(OR(E92=2,E92=0),G92=1,F92=0),J92,"")</f>
      </c>
      <c r="AK92" s="1">
        <f>IF(AND(OR(E92=2,E92=0),G92=2,F92=0),J92,"")</f>
      </c>
      <c r="AL92" s="1">
        <f>IF(AND(OR(E92=2,E92=0),G92=3,F92=0),J92,"")</f>
      </c>
      <c r="AM92" s="1">
        <f>IF(AND(OR(E92=2,E92=0),G92=1,F92=1),J92,"")</f>
      </c>
      <c r="AN92" s="1">
        <f>IF(AND(OR(E92=2,E92=0),G92=2,F92=1),J92,"")</f>
      </c>
      <c r="AO92" s="1">
        <f>IF(AND(OR(E92=2,E92=0),G92=3,F92=1),J92,"")</f>
      </c>
      <c r="AP92" s="1">
        <f>IF(AND(OR(E92=3,E92=0),G92=1,F92=0),J92,"")</f>
      </c>
      <c r="AQ92" s="1">
        <f>IF(AND(OR(E92=3,E92=0),G92=2,F92=0),J92,"")</f>
      </c>
      <c r="AR92" s="1">
        <f>IF(AND(OR(E92=3,E92=0),G92=3,F92=0),J92,"")</f>
      </c>
      <c r="AS92" s="1">
        <f>IF(AND(OR(E92=3,E92=0),G92=1,F92=1),J92,"")</f>
      </c>
      <c r="AT92" s="1">
        <f>IF(AND(OR(E92=3,E92=0),G92=2,F92=1),J92,"")</f>
      </c>
      <c r="AU92" s="1">
        <f>IF(AND(OR(E92=3,E92=0),G92=3,F92=1),J92,"")</f>
      </c>
    </row>
    <row customHeight="true" ht="19" r="93">
      <c r="A93" s="99" t="str">
        <v>魅惑の大腿四頭筋</v>
      </c>
      <c r="B93" s="99" t="str"/>
      <c r="C93" s="99" t="str"/>
      <c r="D93" s="116">
        <f>'持有情况'!AT22-ROW()*0.00001</f>
      </c>
      <c r="E93" s="117">
        <v>0</v>
      </c>
      <c r="F93" s="117">
        <v>0</v>
      </c>
      <c r="G93" s="116">
        <v>2</v>
      </c>
      <c r="H93" s="116">
        <v>1</v>
      </c>
      <c r="I93" s="1" t="str"/>
      <c r="J93" s="116">
        <f>IF('路线'!C6="计算",INT((6.4/100)*'路线'!B11+11*'路线'!B33+4*'路线'!B14+30+20)-ROW()*0.00001,INT((6.4/100)*'路线'!B11+11*'路线'!B33+4*'路线'!B14+30)-ROW()*0.00001)</f>
      </c>
      <c r="L93" s="1">
        <f>IF(AND(OR(E93=1,E93=0),G93=1),D93,"")</f>
      </c>
      <c r="M93" s="1">
        <f>IF(AND(OR(E93=2,E93=0),G93=1),D93,"")</f>
      </c>
      <c r="N93" s="1">
        <f>IF(AND(OR(E93=3,E93=0),G93=1),D93,"")</f>
      </c>
      <c r="O93" s="1">
        <f>IF(AND(OR(E93=1,E93=0),G93=2),D93,"")</f>
      </c>
      <c r="P93" s="1">
        <f>IF(AND(OR(E93=2,E93=0),G93=2),D93,"")</f>
      </c>
      <c r="Q93" s="1">
        <f>IF(AND(OR(E93=3,E93=0),G93=2),D93,"")</f>
      </c>
      <c r="R93" s="1">
        <f>IF(AND(OR(E93=1,E93=0),G93=3),D93,"")</f>
      </c>
      <c r="S93" s="1">
        <f>IF(AND(OR(E93=2,E93=0),G93=3),D93,"")</f>
      </c>
      <c r="T93" s="1">
        <f>IF(AND(OR(E93=3,E93=0),G93=3),D93,"")</f>
      </c>
      <c r="U93" s="1">
        <f>IF(AND(OR(E93=1,E93=0),G93=1,F93=1),D93,"")</f>
      </c>
      <c r="V93" s="1">
        <f>IF(AND(OR(E93=1,E93=0),G93=2,F93=1),D93,"")</f>
      </c>
      <c r="W93" s="1">
        <f>IF(AND(OR(E93=1,E93=0),G93=3,F93=1),D93,"")</f>
      </c>
      <c r="X93" s="1">
        <f>IF(AND(OR(E93=2,E93=0),G93=1,F93=1),D93,"")</f>
      </c>
      <c r="Y93" s="1">
        <f>IF(AND(OR(E93=2,E93=0),G93=2,F93=1),D93,"")</f>
      </c>
      <c r="Z93" s="1">
        <f>IF(AND(OR(E93=2,E93=0),G93=3,F93=1),D93,"")</f>
      </c>
      <c r="AA93" s="1">
        <f>IF(AND(OR(E93=3,E93=0),G93=1,F93=1),D93,"")</f>
      </c>
      <c r="AB93" s="1">
        <f>IF(AND(OR(E93=3,E93=0),G93=2,F93=1),D93,"")</f>
      </c>
      <c r="AC93" s="1">
        <f>IF(AND(OR(E93=3,E93=0),G93=3,F93=1),D93,"")</f>
      </c>
      <c r="AD93" s="1">
        <f>IF(AND(OR(E93=1,E93=0),G93=1,F93=0),J93,"")</f>
      </c>
      <c r="AE93" s="1">
        <f>IF(AND(OR(E93=1,E93=0),G93=2,F93=0),J93,"")</f>
      </c>
      <c r="AF93" s="1">
        <f>IF(AND(OR(E93=1,E93=0),G93=3,F93=0),J93,"")</f>
      </c>
      <c r="AG93" s="1">
        <f>IF(AND(OR(E93=1,E93=0),G93=1,F93=1),J93,"")</f>
      </c>
      <c r="AH93" s="1">
        <f>IF(AND(OR(E93=1,E93=0),G93=2,F93=1),J93,"")</f>
      </c>
      <c r="AI93" s="1">
        <f>IF(AND(OR(E93=1,E93=0),G93=3,F93=1),J93,"")</f>
      </c>
      <c r="AJ93" s="1">
        <f>IF(AND(OR(E93=2,E93=0),G93=1,F93=0),J93,"")</f>
      </c>
      <c r="AK93" s="1">
        <f>IF(AND(OR(E93=2,E93=0),G93=2,F93=0),J93,"")</f>
      </c>
      <c r="AL93" s="1">
        <f>IF(AND(OR(E93=2,E93=0),G93=3,F93=0),J93,"")</f>
      </c>
      <c r="AM93" s="1">
        <f>IF(AND(OR(E93=2,E93=0),G93=1,F93=1),J93,"")</f>
      </c>
      <c r="AN93" s="1">
        <f>IF(AND(OR(E93=2,E93=0),G93=2,F93=1),J93,"")</f>
      </c>
      <c r="AO93" s="1">
        <f>IF(AND(OR(E93=2,E93=0),G93=3,F93=1),J93,"")</f>
      </c>
      <c r="AP93" s="1">
        <f>IF(AND(OR(E93=3,E93=0),G93=1,F93=0),J93,"")</f>
      </c>
      <c r="AQ93" s="1">
        <f>IF(AND(OR(E93=3,E93=0),G93=2,F93=0),J93,"")</f>
      </c>
      <c r="AR93" s="1">
        <f>IF(AND(OR(E93=3,E93=0),G93=3,F93=0),J93,"")</f>
      </c>
      <c r="AS93" s="1">
        <f>IF(AND(OR(E93=3,E93=0),G93=1,F93=1),J93,"")</f>
      </c>
      <c r="AT93" s="1">
        <f>IF(AND(OR(E93=3,E93=0),G93=2,F93=1),J93,"")</f>
      </c>
      <c r="AU93" s="1">
        <f>IF(AND(OR(E93=3,E93=0),G93=3,F93=1),J93,"")</f>
      </c>
    </row>
    <row customHeight="true" ht="19" r="94">
      <c r="A94" s="75" t="str">
        <v>ブレイクタイムは珈琲で（sr红购物）</v>
      </c>
      <c r="B94" s="75" t="str"/>
      <c r="C94" s="75" t="str"/>
      <c r="D94" s="116">
        <f>'持有情况'!AJ52-ROW()*0.00001</f>
      </c>
      <c r="E94" s="116">
        <v>2</v>
      </c>
      <c r="F94" s="117">
        <v>0</v>
      </c>
      <c r="G94" s="116">
        <v>1</v>
      </c>
      <c r="H94" s="117">
        <v>0</v>
      </c>
      <c r="I94" s="1" t="str"/>
      <c r="J94" s="116">
        <f>INT(45+8*'路线'!B39+4*'路线'!B14+30)-ROW()*0.00001</f>
      </c>
      <c r="L94" s="1">
        <f>IF(AND(OR(E94=1,E94=0),G94=1),D94,"")</f>
      </c>
      <c r="M94" s="1">
        <f>IF(AND(OR(E94=2,E94=0),G94=1),D94,"")</f>
      </c>
      <c r="N94" s="1">
        <f>IF(AND(OR(E94=3,E94=0),G94=1),D94,"")</f>
      </c>
      <c r="O94" s="1">
        <f>IF(AND(OR(E94=1,E94=0),G94=2),D94,"")</f>
      </c>
      <c r="P94" s="1">
        <f>IF(AND(OR(E94=2,E94=0),G94=2),D94,"")</f>
      </c>
      <c r="Q94" s="1">
        <f>IF(AND(OR(E94=3,E94=0),G94=2),D94,"")</f>
      </c>
      <c r="R94" s="1">
        <f>IF(AND(OR(E94=1,E94=0),G94=3),D94,"")</f>
      </c>
      <c r="S94" s="1">
        <f>IF(AND(OR(E94=2,E94=0),G94=3),D94,"")</f>
      </c>
      <c r="T94" s="1">
        <f>IF(AND(OR(E94=3,E94=0),G94=3),D94,"")</f>
      </c>
      <c r="U94" s="1">
        <f>IF(AND(OR(E94=1,E94=0),G94=1,F94=1),D94,"")</f>
      </c>
      <c r="V94" s="1">
        <f>IF(AND(OR(E94=1,E94=0),G94=2,F94=1),D94,"")</f>
      </c>
      <c r="W94" s="1">
        <f>IF(AND(OR(E94=1,E94=0),G94=3,F94=1),D94,"")</f>
      </c>
      <c r="X94" s="1">
        <f>IF(AND(OR(E94=2,E94=0),G94=1,F94=1),D94,"")</f>
      </c>
      <c r="Y94" s="1">
        <f>IF(AND(OR(E94=2,E94=0),G94=2,F94=1),D94,"")</f>
      </c>
      <c r="Z94" s="1">
        <f>IF(AND(OR(E94=2,E94=0),G94=3,F94=1),D94,"")</f>
      </c>
      <c r="AA94" s="1">
        <f>IF(AND(OR(E94=3,E94=0),G94=1,F94=1),D94,"")</f>
      </c>
      <c r="AB94" s="1">
        <f>IF(AND(OR(E94=3,E94=0),G94=2,F94=1),D94,"")</f>
      </c>
      <c r="AC94" s="1">
        <f>IF(AND(OR(E94=3,E94=0),G94=3,F94=1),D94,"")</f>
      </c>
      <c r="AD94" s="1">
        <f>IF(AND(OR(E94=1,E94=0),G94=1,F94=0),J94,"")</f>
      </c>
      <c r="AE94" s="1">
        <f>IF(AND(OR(E94=1,E94=0),G94=2,F94=0),J94,"")</f>
      </c>
      <c r="AF94" s="1">
        <f>IF(AND(OR(E94=1,E94=0),G94=3,F94=0),J94,"")</f>
      </c>
      <c r="AG94" s="1">
        <f>IF(AND(OR(E94=1,E94=0),G94=1,F94=1),J94,"")</f>
      </c>
      <c r="AH94" s="1">
        <f>IF(AND(OR(E94=1,E94=0),G94=2,F94=1),J94,"")</f>
      </c>
      <c r="AI94" s="1">
        <f>IF(AND(OR(E94=1,E94=0),G94=3,F94=1),J94,"")</f>
      </c>
      <c r="AJ94" s="1">
        <f>IF(AND(OR(E94=2,E94=0),G94=1,F94=0),J94,"")</f>
      </c>
      <c r="AK94" s="1">
        <f>IF(AND(OR(E94=2,E94=0),G94=2,F94=0),J94,"")</f>
      </c>
      <c r="AL94" s="1">
        <f>IF(AND(OR(E94=2,E94=0),G94=3,F94=0),J94,"")</f>
      </c>
      <c r="AM94" s="1">
        <f>IF(AND(OR(E94=2,E94=0),G94=1,F94=1),J94,"")</f>
      </c>
      <c r="AN94" s="1">
        <f>IF(AND(OR(E94=2,E94=0),G94=2,F94=1),J94,"")</f>
      </c>
      <c r="AO94" s="1">
        <f>IF(AND(OR(E94=2,E94=0),G94=3,F94=1),J94,"")</f>
      </c>
      <c r="AP94" s="1">
        <f>IF(AND(OR(E94=3,E94=0),G94=1,F94=0),J94,"")</f>
      </c>
      <c r="AQ94" s="1">
        <f>IF(AND(OR(E94=3,E94=0),G94=2,F94=0),J94,"")</f>
      </c>
      <c r="AR94" s="1">
        <f>IF(AND(OR(E94=3,E94=0),G94=3,F94=0),J94,"")</f>
      </c>
      <c r="AS94" s="1">
        <f>IF(AND(OR(E94=3,E94=0),G94=1,F94=1),J94,"")</f>
      </c>
      <c r="AT94" s="1">
        <f>IF(AND(OR(E94=3,E94=0),G94=2,F94=1),J94,"")</f>
      </c>
      <c r="AU94" s="1">
        <f>IF(AND(OR(E94=3,E94=0),G94=3,F94=1),J94,"")</f>
      </c>
    </row>
    <row customHeight="true" ht="19" r="95">
      <c r="A95" s="75" t="str">
        <v>基礎＞応用（红老师）</v>
      </c>
      <c r="B95" s="75" t="str"/>
      <c r="C95" s="75" t="str"/>
      <c r="D95" s="116">
        <f>'持有情况'!AJ64-ROW()*0.00001</f>
      </c>
      <c r="E95" s="117">
        <v>0</v>
      </c>
      <c r="F95" s="116">
        <v>1</v>
      </c>
      <c r="G95" s="116">
        <v>1</v>
      </c>
      <c r="H95" s="117">
        <v>0</v>
      </c>
      <c r="I95" s="1" t="str"/>
      <c r="J95" s="116">
        <f>INT(45+2*('路线'!B23+'路线'!B24)+30)-ROW()*0.00001</f>
      </c>
      <c r="L95" s="1">
        <f>IF(AND(OR(E95=1,E95=0),G95=1),D95,"")</f>
      </c>
      <c r="M95" s="1">
        <f>IF(AND(OR(E95=2,E95=0),G95=1),D95,"")</f>
      </c>
      <c r="N95" s="1">
        <f>IF(AND(OR(E95=3,E95=0),G95=1),D95,"")</f>
      </c>
      <c r="O95" s="1">
        <f>IF(AND(OR(E95=1,E95=0),G95=2),D95,"")</f>
      </c>
      <c r="P95" s="1">
        <f>IF(AND(OR(E95=2,E95=0),G95=2),D95,"")</f>
      </c>
      <c r="Q95" s="1">
        <f>IF(AND(OR(E95=3,E95=0),G95=2),D95,"")</f>
      </c>
      <c r="R95" s="1">
        <f>IF(AND(OR(E95=1,E95=0),G95=3),D95,"")</f>
      </c>
      <c r="S95" s="1">
        <f>IF(AND(OR(E95=2,E95=0),G95=3),D95,"")</f>
      </c>
      <c r="T95" s="1">
        <f>IF(AND(OR(E95=3,E95=0),G95=3),D95,"")</f>
      </c>
      <c r="U95" s="1">
        <f>IF(AND(OR(E95=1,E95=0),G95=1,F95=1),D95,"")</f>
      </c>
      <c r="V95" s="1">
        <f>IF(AND(OR(E95=1,E95=0),G95=2,F95=1),D95,"")</f>
      </c>
      <c r="W95" s="1">
        <f>IF(AND(OR(E95=1,E95=0),G95=3,F95=1),D95,"")</f>
      </c>
      <c r="X95" s="1">
        <f>IF(AND(OR(E95=2,E95=0),G95=1,F95=1),D95,"")</f>
      </c>
      <c r="Y95" s="1">
        <f>IF(AND(OR(E95=2,E95=0),G95=2,F95=1),D95,"")</f>
      </c>
      <c r="Z95" s="1">
        <f>IF(AND(OR(E95=2,E95=0),G95=3,F95=1),D95,"")</f>
      </c>
      <c r="AA95" s="1">
        <f>IF(AND(OR(E95=3,E95=0),G95=1,F95=1),D95,"")</f>
      </c>
      <c r="AB95" s="1">
        <f>IF(AND(OR(E95=3,E95=0),G95=2,F95=1),D95,"")</f>
      </c>
      <c r="AC95" s="1">
        <f>IF(AND(OR(E95=3,E95=0),G95=3,F95=1),D95,"")</f>
      </c>
      <c r="AD95" s="1">
        <f>IF(AND(OR(E95=1,E95=0),G95=1,F95=0),J95,"")</f>
      </c>
      <c r="AE95" s="1">
        <f>IF(AND(OR(E95=1,E95=0),G95=2,F95=0),J95,"")</f>
      </c>
      <c r="AF95" s="1">
        <f>IF(AND(OR(E95=1,E95=0),G95=3,F95=0),J95,"")</f>
      </c>
      <c r="AG95" s="1">
        <f>IF(AND(OR(E95=1,E95=0),G95=1,F95=1),J95,"")</f>
      </c>
      <c r="AH95" s="1">
        <f>IF(AND(OR(E95=1,E95=0),G95=2,F95=1),J95,"")</f>
      </c>
      <c r="AI95" s="1">
        <f>IF(AND(OR(E95=1,E95=0),G95=3,F95=1),J95,"")</f>
      </c>
      <c r="AJ95" s="1">
        <f>IF(AND(OR(E95=2,E95=0),G95=1,F95=0),J95,"")</f>
      </c>
      <c r="AK95" s="1">
        <f>IF(AND(OR(E95=2,E95=0),G95=2,F95=0),J95,"")</f>
      </c>
      <c r="AL95" s="1">
        <f>IF(AND(OR(E95=2,E95=0),G95=3,F95=0),J95,"")</f>
      </c>
      <c r="AM95" s="1">
        <f>IF(AND(OR(E95=2,E95=0),G95=1,F95=1),J95,"")</f>
      </c>
      <c r="AN95" s="1">
        <f>IF(AND(OR(E95=2,E95=0),G95=2,F95=1),J95,"")</f>
      </c>
      <c r="AO95" s="1">
        <f>IF(AND(OR(E95=2,E95=0),G95=3,F95=1),J95,"")</f>
      </c>
      <c r="AP95" s="1">
        <f>IF(AND(OR(E95=3,E95=0),G95=1,F95=0),J95,"")</f>
      </c>
      <c r="AQ95" s="1">
        <f>IF(AND(OR(E95=3,E95=0),G95=2,F95=0),J95,"")</f>
      </c>
      <c r="AR95" s="1">
        <f>IF(AND(OR(E95=3,E95=0),G95=3,F95=0),J95,"")</f>
      </c>
      <c r="AS95" s="1">
        <f>IF(AND(OR(E95=3,E95=0),G95=1,F95=1),J95,"")</f>
      </c>
      <c r="AT95" s="1">
        <f>IF(AND(OR(E95=3,E95=0),G95=2,F95=1),J95,"")</f>
      </c>
      <c r="AU95" s="1">
        <f>IF(AND(OR(E95=3,E95=0),G95=3,F95=1),J95,"")</f>
      </c>
    </row>
    <row customHeight="true" ht="19" r="96">
      <c r="A96" s="99" t="str">
        <v>キュっと締めて（sr蓝购物）</v>
      </c>
      <c r="B96" s="99" t="str"/>
      <c r="C96" s="99" t="str"/>
      <c r="D96" s="116">
        <f>'持有情况'!AT46-ROW()*0.00001</f>
      </c>
      <c r="E96" s="116">
        <v>1</v>
      </c>
      <c r="F96" s="117">
        <v>0</v>
      </c>
      <c r="G96" s="116">
        <v>2</v>
      </c>
      <c r="H96" s="117">
        <v>0</v>
      </c>
      <c r="I96" s="1" t="str"/>
      <c r="J96" s="116">
        <f>INT(45+8*'路线'!B39+4*'路线'!B14+30)-ROW()*0.00001</f>
      </c>
      <c r="L96" s="1">
        <f>IF(AND(OR(E96=1,E96=0),G96=1),D96,"")</f>
      </c>
      <c r="M96" s="1">
        <f>IF(AND(OR(E96=2,E96=0),G96=1),D96,"")</f>
      </c>
      <c r="N96" s="1">
        <f>IF(AND(OR(E96=3,E96=0),G96=1),D96,"")</f>
      </c>
      <c r="O96" s="1">
        <f>IF(AND(OR(E96=1,E96=0),G96=2),D96,"")</f>
      </c>
      <c r="P96" s="1">
        <f>IF(AND(OR(E96=2,E96=0),G96=2),D96,"")</f>
      </c>
      <c r="Q96" s="1">
        <f>IF(AND(OR(E96=3,E96=0),G96=2),D96,"")</f>
      </c>
      <c r="R96" s="1">
        <f>IF(AND(OR(E96=1,E96=0),G96=3),D96,"")</f>
      </c>
      <c r="S96" s="1">
        <f>IF(AND(OR(E96=2,E96=0),G96=3),D96,"")</f>
      </c>
      <c r="T96" s="1">
        <f>IF(AND(OR(E96=3,E96=0),G96=3),D96,"")</f>
      </c>
      <c r="U96" s="1">
        <f>IF(AND(OR(E96=1,E96=0),G96=1,F96=1),D96,"")</f>
      </c>
      <c r="V96" s="1">
        <f>IF(AND(OR(E96=1,E96=0),G96=2,F96=1),D96,"")</f>
      </c>
      <c r="W96" s="1">
        <f>IF(AND(OR(E96=1,E96=0),G96=3,F96=1),D96,"")</f>
      </c>
      <c r="X96" s="1">
        <f>IF(AND(OR(E96=2,E96=0),G96=1,F96=1),D96,"")</f>
      </c>
      <c r="Y96" s="1">
        <f>IF(AND(OR(E96=2,E96=0),G96=2,F96=1),D96,"")</f>
      </c>
      <c r="Z96" s="1">
        <f>IF(AND(OR(E96=2,E96=0),G96=3,F96=1),D96,"")</f>
      </c>
      <c r="AA96" s="1">
        <f>IF(AND(OR(E96=3,E96=0),G96=1,F96=1),D96,"")</f>
      </c>
      <c r="AB96" s="1">
        <f>IF(AND(OR(E96=3,E96=0),G96=2,F96=1),D96,"")</f>
      </c>
      <c r="AC96" s="1">
        <f>IF(AND(OR(E96=3,E96=0),G96=3,F96=1),D96,"")</f>
      </c>
      <c r="AD96" s="1">
        <f>IF(AND(OR(E96=1,E96=0),G96=1,F96=0),J96,"")</f>
      </c>
      <c r="AE96" s="1">
        <f>IF(AND(OR(E96=1,E96=0),G96=2,F96=0),J96,"")</f>
      </c>
      <c r="AF96" s="1">
        <f>IF(AND(OR(E96=1,E96=0),G96=3,F96=0),J96,"")</f>
      </c>
      <c r="AG96" s="1">
        <f>IF(AND(OR(E96=1,E96=0),G96=1,F96=1),J96,"")</f>
      </c>
      <c r="AH96" s="1">
        <f>IF(AND(OR(E96=1,E96=0),G96=2,F96=1),J96,"")</f>
      </c>
      <c r="AI96" s="1">
        <f>IF(AND(OR(E96=1,E96=0),G96=3,F96=1),J96,"")</f>
      </c>
      <c r="AJ96" s="1">
        <f>IF(AND(OR(E96=2,E96=0),G96=1,F96=0),J96,"")</f>
      </c>
      <c r="AK96" s="1">
        <f>IF(AND(OR(E96=2,E96=0),G96=2,F96=0),J96,"")</f>
      </c>
      <c r="AL96" s="1">
        <f>IF(AND(OR(E96=2,E96=0),G96=3,F96=0),J96,"")</f>
      </c>
      <c r="AM96" s="1">
        <f>IF(AND(OR(E96=2,E96=0),G96=1,F96=1),J96,"")</f>
      </c>
      <c r="AN96" s="1">
        <f>IF(AND(OR(E96=2,E96=0),G96=2,F96=1),J96,"")</f>
      </c>
      <c r="AO96" s="1">
        <f>IF(AND(OR(E96=2,E96=0),G96=3,F96=1),J96,"")</f>
      </c>
      <c r="AP96" s="1">
        <f>IF(AND(OR(E96=3,E96=0),G96=1,F96=0),J96,"")</f>
      </c>
      <c r="AQ96" s="1">
        <f>IF(AND(OR(E96=3,E96=0),G96=2,F96=0),J96,"")</f>
      </c>
      <c r="AR96" s="1">
        <f>IF(AND(OR(E96=3,E96=0),G96=3,F96=0),J96,"")</f>
      </c>
      <c r="AS96" s="1">
        <f>IF(AND(OR(E96=3,E96=0),G96=1,F96=1),J96,"")</f>
      </c>
      <c r="AT96" s="1">
        <f>IF(AND(OR(E96=3,E96=0),G96=2,F96=1),J96,"")</f>
      </c>
      <c r="AU96" s="1">
        <f>IF(AND(OR(E96=3,E96=0),G96=3,F96=1),J96,"")</f>
      </c>
    </row>
    <row customHeight="true" ht="19" r="97">
      <c r="A97" s="99" t="str">
        <v>パシャっとキメポ（sr蓝睡）</v>
      </c>
      <c r="B97" s="99" t="str"/>
      <c r="C97" s="99" t="str"/>
      <c r="D97" s="116">
        <f>'持有情况'!AT28-ROW()*0.00001</f>
      </c>
      <c r="E97" s="116">
        <v>1</v>
      </c>
      <c r="F97" s="117">
        <v>0</v>
      </c>
      <c r="G97" s="116">
        <v>2</v>
      </c>
      <c r="H97" s="116">
        <v>1</v>
      </c>
      <c r="I97" s="111" t="str">
        <v>sr蓝睡</v>
      </c>
      <c r="J97" s="116">
        <f>IF('路线'!C6="计算",INT(45+17*'路线'!B32+4*'路线'!B14+30+20)-ROW()*0.00001,INT(45+17*'路线'!B32+4*'路线'!B14+30)-ROW()*0.00001)</f>
      </c>
      <c r="L97" s="1">
        <f>IF(AND(OR(E97=1,E97=0),G97=1),D97,"")</f>
      </c>
      <c r="M97" s="1">
        <f>IF(AND(OR(E97=2,E97=0),G97=1),D97,"")</f>
      </c>
      <c r="N97" s="1">
        <f>IF(AND(OR(E97=3,E97=0),G97=1),D97,"")</f>
      </c>
      <c r="O97" s="1">
        <f>IF(AND(OR(E97=1,E97=0),G97=2),D97,"")</f>
      </c>
      <c r="P97" s="1">
        <f>IF(AND(OR(E97=2,E97=0),G97=2),D97,"")</f>
      </c>
      <c r="Q97" s="1">
        <f>IF(AND(OR(E97=3,E97=0),G97=2),D97,"")</f>
      </c>
      <c r="R97" s="1">
        <f>IF(AND(OR(E97=1,E97=0),G97=3),D97,"")</f>
      </c>
      <c r="S97" s="1">
        <f>IF(AND(OR(E97=2,E97=0),G97=3),D97,"")</f>
      </c>
      <c r="T97" s="1">
        <f>IF(AND(OR(E97=3,E97=0),G97=3),D97,"")</f>
      </c>
      <c r="U97" s="1">
        <f>IF(AND(OR(E97=1,E97=0),G97=1,F97=1),D97,"")</f>
      </c>
      <c r="V97" s="1">
        <f>IF(AND(OR(E97=1,E97=0),G97=2,F97=1),D97,"")</f>
      </c>
      <c r="W97" s="1">
        <f>IF(AND(OR(E97=1,E97=0),G97=3,F97=1),D97,"")</f>
      </c>
      <c r="X97" s="1">
        <f>IF(AND(OR(E97=2,E97=0),G97=1,F97=1),D97,"")</f>
      </c>
      <c r="Y97" s="1">
        <f>IF(AND(OR(E97=2,E97=0),G97=2,F97=1),D97,"")</f>
      </c>
      <c r="Z97" s="1">
        <f>IF(AND(OR(E97=2,E97=0),G97=3,F97=1),D97,"")</f>
      </c>
      <c r="AA97" s="1">
        <f>IF(AND(OR(E97=3,E97=0),G97=1,F97=1),D97,"")</f>
      </c>
      <c r="AB97" s="1">
        <f>IF(AND(OR(E97=3,E97=0),G97=2,F97=1),D97,"")</f>
      </c>
      <c r="AC97" s="1">
        <f>IF(AND(OR(E97=3,E97=0),G97=3,F97=1),D97,"")</f>
      </c>
      <c r="AD97" s="1">
        <f>IF(AND(OR(E97=1,E97=0),G97=1,F97=0),J97,"")</f>
      </c>
      <c r="AE97" s="1">
        <f>IF(AND(OR(E97=1,E97=0),G97=2,F97=0),J97,"")</f>
      </c>
      <c r="AF97" s="1">
        <f>IF(AND(OR(E97=1,E97=0),G97=3,F97=0),J97,"")</f>
      </c>
      <c r="AG97" s="1">
        <f>IF(AND(OR(E97=1,E97=0),G97=1,F97=1),J97,"")</f>
      </c>
      <c r="AH97" s="1">
        <f>IF(AND(OR(E97=1,E97=0),G97=2,F97=1),J97,"")</f>
      </c>
      <c r="AI97" s="1">
        <f>IF(AND(OR(E97=1,E97=0),G97=3,F97=1),J97,"")</f>
      </c>
      <c r="AJ97" s="1">
        <f>IF(AND(OR(E97=2,E97=0),G97=1,F97=0),J97,"")</f>
      </c>
      <c r="AK97" s="1">
        <f>IF(AND(OR(E97=2,E97=0),G97=2,F97=0),J97,"")</f>
      </c>
      <c r="AL97" s="1">
        <f>IF(AND(OR(E97=2,E97=0),G97=3,F97=0),J97,"")</f>
      </c>
      <c r="AM97" s="1">
        <f>IF(AND(OR(E97=2,E97=0),G97=1,F97=1),J97,"")</f>
      </c>
      <c r="AN97" s="1">
        <f>IF(AND(OR(E97=2,E97=0),G97=2,F97=1),J97,"")</f>
      </c>
      <c r="AO97" s="1">
        <f>IF(AND(OR(E97=2,E97=0),G97=3,F97=1),J97,"")</f>
      </c>
      <c r="AP97" s="1">
        <f>IF(AND(OR(E97=3,E97=0),G97=1,F97=0),J97,"")</f>
      </c>
      <c r="AQ97" s="1">
        <f>IF(AND(OR(E97=3,E97=0),G97=2,F97=0),J97,"")</f>
      </c>
      <c r="AR97" s="1">
        <f>IF(AND(OR(E97=3,E97=0),G97=3,F97=0),J97,"")</f>
      </c>
      <c r="AS97" s="1">
        <f>IF(AND(OR(E97=3,E97=0),G97=1,F97=1),J97,"")</f>
      </c>
      <c r="AT97" s="1">
        <f>IF(AND(OR(E97=3,E97=0),G97=2,F97=1),J97,"")</f>
      </c>
      <c r="AU97" s="1">
        <f>IF(AND(OR(E97=3,E97=0),G97=3,F97=1),J97,"")</f>
      </c>
    </row>
    <row customHeight="true" ht="19" r="98">
      <c r="A98" s="86" t="str">
        <v>てとりあしとり</v>
      </c>
      <c r="B98" s="86" t="str"/>
      <c r="C98" s="86" t="str"/>
      <c r="D98" s="116">
        <f>'持有情况'!BD22-ROW()*0.00001</f>
      </c>
      <c r="E98" s="117">
        <v>0</v>
      </c>
      <c r="F98" s="117">
        <v>0</v>
      </c>
      <c r="G98" s="116">
        <v>3</v>
      </c>
      <c r="H98" s="116">
        <v>1</v>
      </c>
      <c r="I98" s="1" t="str"/>
      <c r="J98" s="116">
        <f>IF('路线'!C6="计算",INT(45+11*'路线'!B34+4*'路线'!B14+30+20)-ROW()*0.00001,INT(45+11*'路线'!B34+4*'路线'!B14+30)-ROW()*0.00001)</f>
      </c>
      <c r="L98" s="1">
        <f>IF(AND(OR(E98=1,E98=0),G98=1),D98,"")</f>
      </c>
      <c r="M98" s="1">
        <f>IF(AND(OR(E98=2,E98=0),G98=1),D98,"")</f>
      </c>
      <c r="N98" s="1">
        <f>IF(AND(OR(E98=3,E98=0),G98=1),D98,"")</f>
      </c>
      <c r="O98" s="1">
        <f>IF(AND(OR(E98=1,E98=0),G98=2),D98,"")</f>
      </c>
      <c r="P98" s="1">
        <f>IF(AND(OR(E98=2,E98=0),G98=2),D98,"")</f>
      </c>
      <c r="Q98" s="1">
        <f>IF(AND(OR(E98=3,E98=0),G98=2),D98,"")</f>
      </c>
      <c r="R98" s="1">
        <f>IF(AND(OR(E98=1,E98=0),G98=3),D98,"")</f>
      </c>
      <c r="S98" s="1">
        <f>IF(AND(OR(E98=2,E98=0),G98=3),D98,"")</f>
      </c>
      <c r="T98" s="1">
        <f>IF(AND(OR(E98=3,E98=0),G98=3),D98,"")</f>
      </c>
      <c r="U98" s="1">
        <f>IF(AND(OR(E98=1,E98=0),G98=1,F98=1),D98,"")</f>
      </c>
      <c r="V98" s="1">
        <f>IF(AND(OR(E98=1,E98=0),G98=2,F98=1),D98,"")</f>
      </c>
      <c r="W98" s="1">
        <f>IF(AND(OR(E98=1,E98=0),G98=3,F98=1),D98,"")</f>
      </c>
      <c r="X98" s="1">
        <f>IF(AND(OR(E98=2,E98=0),G98=1,F98=1),D98,"")</f>
      </c>
      <c r="Y98" s="1">
        <f>IF(AND(OR(E98=2,E98=0),G98=2,F98=1),D98,"")</f>
      </c>
      <c r="Z98" s="1">
        <f>IF(AND(OR(E98=2,E98=0),G98=3,F98=1),D98,"")</f>
      </c>
      <c r="AA98" s="1">
        <f>IF(AND(OR(E98=3,E98=0),G98=1,F98=1),D98,"")</f>
      </c>
      <c r="AB98" s="1">
        <f>IF(AND(OR(E98=3,E98=0),G98=2,F98=1),D98,"")</f>
      </c>
      <c r="AC98" s="1">
        <f>IF(AND(OR(E98=3,E98=0),G98=3,F98=1),D98,"")</f>
      </c>
      <c r="AD98" s="1">
        <f>IF(AND(OR(E98=1,E98=0),G98=1,F98=0),J98,"")</f>
      </c>
      <c r="AE98" s="1">
        <f>IF(AND(OR(E98=1,E98=0),G98=2,F98=0),J98,"")</f>
      </c>
      <c r="AF98" s="1">
        <f>IF(AND(OR(E98=1,E98=0),G98=3,F98=0),J98,"")</f>
      </c>
      <c r="AG98" s="1">
        <f>IF(AND(OR(E98=1,E98=0),G98=1,F98=1),J98,"")</f>
      </c>
      <c r="AH98" s="1">
        <f>IF(AND(OR(E98=1,E98=0),G98=2,F98=1),J98,"")</f>
      </c>
      <c r="AI98" s="1">
        <f>IF(AND(OR(E98=1,E98=0),G98=3,F98=1),J98,"")</f>
      </c>
      <c r="AJ98" s="1">
        <f>IF(AND(OR(E98=2,E98=0),G98=1,F98=0),J98,"")</f>
      </c>
      <c r="AK98" s="1">
        <f>IF(AND(OR(E98=2,E98=0),G98=2,F98=0),J98,"")</f>
      </c>
      <c r="AL98" s="1">
        <f>IF(AND(OR(E98=2,E98=0),G98=3,F98=0),J98,"")</f>
      </c>
      <c r="AM98" s="1">
        <f>IF(AND(OR(E98=2,E98=0),G98=1,F98=1),J98,"")</f>
      </c>
      <c r="AN98" s="1">
        <f>IF(AND(OR(E98=2,E98=0),G98=2,F98=1),J98,"")</f>
      </c>
      <c r="AO98" s="1">
        <f>IF(AND(OR(E98=2,E98=0),G98=3,F98=1),J98,"")</f>
      </c>
      <c r="AP98" s="1">
        <f>IF(AND(OR(E98=3,E98=0),G98=1,F98=0),J98,"")</f>
      </c>
      <c r="AQ98" s="1">
        <f>IF(AND(OR(E98=3,E98=0),G98=2,F98=0),J98,"")</f>
      </c>
      <c r="AR98" s="1">
        <f>IF(AND(OR(E98=3,E98=0),G98=3,F98=0),J98,"")</f>
      </c>
      <c r="AS98" s="1">
        <f>IF(AND(OR(E98=3,E98=0),G98=1,F98=1),J98,"")</f>
      </c>
      <c r="AT98" s="1">
        <f>IF(AND(OR(E98=3,E98=0),G98=2,F98=1),J98,"")</f>
      </c>
      <c r="AU98" s="1">
        <f>IF(AND(OR(E98=3,E98=0),G98=3,F98=1),J98,"")</f>
      </c>
    </row>
    <row customHeight="true" ht="19" r="99">
      <c r="A99" s="86" t="str">
        <v>いつか、きっと花開く（sr黄睡）</v>
      </c>
      <c r="B99" s="86" t="str"/>
      <c r="C99" s="86" t="str"/>
      <c r="D99" s="116">
        <f>'持有情况'!BD4-ROW()*0.00001</f>
      </c>
      <c r="E99" s="117">
        <v>0</v>
      </c>
      <c r="F99" s="117">
        <v>0</v>
      </c>
      <c r="G99" s="116">
        <v>3</v>
      </c>
      <c r="H99" s="117">
        <v>0</v>
      </c>
      <c r="I99" s="1" t="str"/>
      <c r="J99" s="116">
        <f>INT(45+17*'路线'!B32+3*('路线'!B28+'路线'!B29)+30)-ROW()*0.00001</f>
      </c>
      <c r="L99" s="1">
        <f>IF(AND(OR(E99=1,E99=0),G99=1),D99,"")</f>
      </c>
      <c r="M99" s="1">
        <f>IF(AND(OR(E99=2,E99=0),G99=1),D99,"")</f>
      </c>
      <c r="N99" s="1">
        <f>IF(AND(OR(E99=3,E99=0),G99=1),D99,"")</f>
      </c>
      <c r="O99" s="1">
        <f>IF(AND(OR(E99=1,E99=0),G99=2),D99,"")</f>
      </c>
      <c r="P99" s="1">
        <f>IF(AND(OR(E99=2,E99=0),G99=2),D99,"")</f>
      </c>
      <c r="Q99" s="1">
        <f>IF(AND(OR(E99=3,E99=0),G99=2),D99,"")</f>
      </c>
      <c r="R99" s="1">
        <f>IF(AND(OR(E99=1,E99=0),G99=3),D99,"")</f>
      </c>
      <c r="S99" s="1">
        <f>IF(AND(OR(E99=2,E99=0),G99=3),D99,"")</f>
      </c>
      <c r="T99" s="1">
        <f>IF(AND(OR(E99=3,E99=0),G99=3),D99,"")</f>
      </c>
      <c r="U99" s="1">
        <f>IF(AND(OR(E99=1,E99=0),G99=1,F99=1),D99,"")</f>
      </c>
      <c r="V99" s="1">
        <f>IF(AND(OR(E99=1,E99=0),G99=2,F99=1),D99,"")</f>
      </c>
      <c r="W99" s="1">
        <f>IF(AND(OR(E99=1,E99=0),G99=3,F99=1),D99,"")</f>
      </c>
      <c r="X99" s="1">
        <f>IF(AND(OR(E99=2,E99=0),G99=1,F99=1),D99,"")</f>
      </c>
      <c r="Y99" s="1">
        <f>IF(AND(OR(E99=2,E99=0),G99=2,F99=1),D99,"")</f>
      </c>
      <c r="Z99" s="1">
        <f>IF(AND(OR(E99=2,E99=0),G99=3,F99=1),D99,"")</f>
      </c>
      <c r="AA99" s="1">
        <f>IF(AND(OR(E99=3,E99=0),G99=1,F99=1),D99,"")</f>
      </c>
      <c r="AB99" s="1">
        <f>IF(AND(OR(E99=3,E99=0),G99=2,F99=1),D99,"")</f>
      </c>
      <c r="AC99" s="1">
        <f>IF(AND(OR(E99=3,E99=0),G99=3,F99=1),D99,"")</f>
      </c>
      <c r="AD99" s="1">
        <f>IF(AND(OR(E99=1,E99=0),G99=1,F99=0),J99,"")</f>
      </c>
      <c r="AE99" s="1">
        <f>IF(AND(OR(E99=1,E99=0),G99=2,F99=0),J99,"")</f>
      </c>
      <c r="AF99" s="1">
        <f>IF(AND(OR(E99=1,E99=0),G99=3,F99=0),J99,"")</f>
      </c>
      <c r="AG99" s="1">
        <f>IF(AND(OR(E99=1,E99=0),G99=1,F99=1),J99,"")</f>
      </c>
      <c r="AH99" s="1">
        <f>IF(AND(OR(E99=1,E99=0),G99=2,F99=1),J99,"")</f>
      </c>
      <c r="AI99" s="1">
        <f>IF(AND(OR(E99=1,E99=0),G99=3,F99=1),J99,"")</f>
      </c>
      <c r="AJ99" s="1">
        <f>IF(AND(OR(E99=2,E99=0),G99=1,F99=0),J99,"")</f>
      </c>
      <c r="AK99" s="1">
        <f>IF(AND(OR(E99=2,E99=0),G99=2,F99=0),J99,"")</f>
      </c>
      <c r="AL99" s="1">
        <f>IF(AND(OR(E99=2,E99=0),G99=3,F99=0),J99,"")</f>
      </c>
      <c r="AM99" s="1">
        <f>IF(AND(OR(E99=2,E99=0),G99=1,F99=1),J99,"")</f>
      </c>
      <c r="AN99" s="1">
        <f>IF(AND(OR(E99=2,E99=0),G99=2,F99=1),J99,"")</f>
      </c>
      <c r="AO99" s="1">
        <f>IF(AND(OR(E99=2,E99=0),G99=3,F99=1),J99,"")</f>
      </c>
      <c r="AP99" s="1">
        <f>IF(AND(OR(E99=3,E99=0),G99=1,F99=0),J99,"")</f>
      </c>
      <c r="AQ99" s="1">
        <f>IF(AND(OR(E99=3,E99=0),G99=2,F99=0),J99,"")</f>
      </c>
      <c r="AR99" s="1">
        <f>IF(AND(OR(E99=3,E99=0),G99=3,F99=0),J99,"")</f>
      </c>
      <c r="AS99" s="1">
        <f>IF(AND(OR(E99=3,E99=0),G99=1,F99=1),J99,"")</f>
      </c>
      <c r="AT99" s="1">
        <f>IF(AND(OR(E99=3,E99=0),G99=2,F99=1),J99,"")</f>
      </c>
      <c r="AU99" s="1">
        <f>IF(AND(OR(E99=3,E99=0),G99=3,F99=1),J99,"")</f>
      </c>
    </row>
    <row customHeight="true" ht="19" r="100">
      <c r="A100" s="99" t="str">
        <v>目指すはテッペン（蓝老师）</v>
      </c>
      <c r="B100" s="99" t="str"/>
      <c r="C100" s="99" t="str"/>
      <c r="D100" s="116">
        <f>'持有情况'!AT88-ROW()*0.00001</f>
      </c>
      <c r="E100" s="117">
        <v>0</v>
      </c>
      <c r="F100" s="116">
        <v>1</v>
      </c>
      <c r="G100" s="116">
        <v>2</v>
      </c>
      <c r="H100" s="117">
        <v>0</v>
      </c>
      <c r="I100" s="1" t="str"/>
      <c r="J100" s="116">
        <f>INT(45+8*'路线'!B33+30)-ROW()*0.00001</f>
      </c>
      <c r="L100" s="1">
        <f>IF(AND(OR(E100=1,E100=0),G100=1),D100,"")</f>
      </c>
      <c r="M100" s="1">
        <f>IF(AND(OR(E100=2,E100=0),G100=1),D100,"")</f>
      </c>
      <c r="N100" s="1">
        <f>IF(AND(OR(E100=3,E100=0),G100=1),D100,"")</f>
      </c>
      <c r="O100" s="1">
        <f>IF(AND(OR(E100=1,E100=0),G100=2),D100,"")</f>
      </c>
      <c r="P100" s="1">
        <f>IF(AND(OR(E100=2,E100=0),G100=2),D100,"")</f>
      </c>
      <c r="Q100" s="1">
        <f>IF(AND(OR(E100=3,E100=0),G100=2),D100,"")</f>
      </c>
      <c r="R100" s="1">
        <f>IF(AND(OR(E100=1,E100=0),G100=3),D100,"")</f>
      </c>
      <c r="S100" s="1">
        <f>IF(AND(OR(E100=2,E100=0),G100=3),D100,"")</f>
      </c>
      <c r="T100" s="1">
        <f>IF(AND(OR(E100=3,E100=0),G100=3),D100,"")</f>
      </c>
      <c r="U100" s="1">
        <f>IF(AND(OR(E100=1,E100=0),G100=1,F100=1),D100,"")</f>
      </c>
      <c r="V100" s="1">
        <f>IF(AND(OR(E100=1,E100=0),G100=2,F100=1),D100,"")</f>
      </c>
      <c r="W100" s="1">
        <f>IF(AND(OR(E100=1,E100=0),G100=3,F100=1),D100,"")</f>
      </c>
      <c r="X100" s="1">
        <f>IF(AND(OR(E100=2,E100=0),G100=1,F100=1),D100,"")</f>
      </c>
      <c r="Y100" s="1">
        <f>IF(AND(OR(E100=2,E100=0),G100=2,F100=1),D100,"")</f>
      </c>
      <c r="Z100" s="1">
        <f>IF(AND(OR(E100=2,E100=0),G100=3,F100=1),D100,"")</f>
      </c>
      <c r="AA100" s="1">
        <f>IF(AND(OR(E100=3,E100=0),G100=1,F100=1),D100,"")</f>
      </c>
      <c r="AB100" s="1">
        <f>IF(AND(OR(E100=3,E100=0),G100=2,F100=1),D100,"")</f>
      </c>
      <c r="AC100" s="1">
        <f>IF(AND(OR(E100=3,E100=0),G100=3,F100=1),D100,"")</f>
      </c>
      <c r="AD100" s="1">
        <f>IF(AND(OR(E100=1,E100=0),G100=1,F100=0),J100,"")</f>
      </c>
      <c r="AE100" s="1">
        <f>IF(AND(OR(E100=1,E100=0),G100=2,F100=0),J100,"")</f>
      </c>
      <c r="AF100" s="1">
        <f>IF(AND(OR(E100=1,E100=0),G100=3,F100=0),J100,"")</f>
      </c>
      <c r="AG100" s="1">
        <f>IF(AND(OR(E100=1,E100=0),G100=1,F100=1),J100,"")</f>
      </c>
      <c r="AH100" s="1">
        <f>IF(AND(OR(E100=1,E100=0),G100=2,F100=1),J100,"")</f>
      </c>
      <c r="AI100" s="1">
        <f>IF(AND(OR(E100=1,E100=0),G100=3,F100=1),J100,"")</f>
      </c>
      <c r="AJ100" s="1">
        <f>IF(AND(OR(E100=2,E100=0),G100=1,F100=0),J100,"")</f>
      </c>
      <c r="AK100" s="1">
        <f>IF(AND(OR(E100=2,E100=0),G100=2,F100=0),J100,"")</f>
      </c>
      <c r="AL100" s="1">
        <f>IF(AND(OR(E100=2,E100=0),G100=3,F100=0),J100,"")</f>
      </c>
      <c r="AM100" s="1">
        <f>IF(AND(OR(E100=2,E100=0),G100=1,F100=1),J100,"")</f>
      </c>
      <c r="AN100" s="1">
        <f>IF(AND(OR(E100=2,E100=0),G100=2,F100=1),J100,"")</f>
      </c>
      <c r="AO100" s="1">
        <f>IF(AND(OR(E100=2,E100=0),G100=3,F100=1),J100,"")</f>
      </c>
      <c r="AP100" s="1">
        <f>IF(AND(OR(E100=3,E100=0),G100=1,F100=0),J100,"")</f>
      </c>
      <c r="AQ100" s="1">
        <f>IF(AND(OR(E100=3,E100=0),G100=2,F100=0),J100,"")</f>
      </c>
      <c r="AR100" s="1">
        <f>IF(AND(OR(E100=3,E100=0),G100=3,F100=0),J100,"")</f>
      </c>
      <c r="AS100" s="1">
        <f>IF(AND(OR(E100=3,E100=0),G100=1,F100=1),J100,"")</f>
      </c>
      <c r="AT100" s="1">
        <f>IF(AND(OR(E100=3,E100=0),G100=2,F100=1),J100,"")</f>
      </c>
      <c r="AU100" s="1">
        <f>IF(AND(OR(E100=3,E100=0),G100=3,F100=1),J100,"")</f>
      </c>
    </row>
    <row customHeight="true" ht="19" r="101">
      <c r="A101" s="86" t="str">
        <v>ひとりごとです（汤达人）</v>
      </c>
      <c r="B101" s="86" t="str"/>
      <c r="C101" s="86" t="str"/>
      <c r="D101" s="116">
        <f>'持有情况'!Z112-ROW()*0.00001</f>
      </c>
      <c r="E101" s="116">
        <v>3</v>
      </c>
      <c r="F101" s="117">
        <v>0</v>
      </c>
      <c r="G101" s="116">
        <v>3</v>
      </c>
      <c r="H101" s="117">
        <v>0</v>
      </c>
      <c r="I101" s="1" t="str"/>
      <c r="J101" s="116">
        <f>IF('路线'!C6="计算",INT(60+21*IF('路线'!B38&lt;=3,'路线'!B38,3)+17*'路线'!B15+22*IF('路线'!B37&lt;=3,'路线'!B37,3)+40+40),INT(60+21*IF('路线'!B38&lt;=3,'路线'!B38,3)+17*'路线'!B15+22*IF('路线'!B37&lt;=3,'路线'!B37,3)+40))-ROW()*0.00001</f>
      </c>
      <c r="K101" s="1" t="str"/>
      <c r="L101" s="111">
        <f>IF(AND(OR(E101=1,E101=0),G101=1),D101,"")</f>
      </c>
      <c r="M101" s="111">
        <f>IF(AND(OR(E101=2,E101=0),G101=1),D101,"")</f>
      </c>
      <c r="N101" s="111">
        <f>IF(AND(OR(E101=3,E101=0),G101=1),D101,"")</f>
      </c>
      <c r="O101" s="111">
        <f>IF(AND(OR(E101=1,E101=0),G101=2),D101,"")</f>
      </c>
      <c r="P101" s="111">
        <f>IF(AND(OR(E101=2,E101=0),G101=2),D101,"")</f>
      </c>
      <c r="Q101" s="111">
        <f>IF(AND(OR(E101=3,E101=0),G101=2),D101,"")</f>
      </c>
      <c r="R101" s="111">
        <f>IF(AND(OR(E101=1,E101=0),G101=3),D101,"")</f>
      </c>
      <c r="S101" s="111">
        <f>IF(AND(OR(E101=2,E101=0),G101=3),D101,"")</f>
      </c>
      <c r="T101" s="111">
        <f>IF(AND(OR(E101=3,E101=0),G101=3),D101,"")</f>
      </c>
      <c r="U101" s="111">
        <f>IF(AND(OR(E101=1,E101=0),G101=1,F101=1),D101,"")</f>
      </c>
      <c r="V101" s="111">
        <f>IF(AND(OR(E101=1,E101=0),G101=2,F101=1),D101,"")</f>
      </c>
      <c r="W101" s="111">
        <f>IF(AND(OR(E101=1,E101=0),G101=3,F101=1),D101,"")</f>
      </c>
      <c r="X101" s="111">
        <f>IF(AND(OR(E101=2,E101=0),G101=1,F101=1),D101,"")</f>
      </c>
      <c r="Y101" s="111">
        <f>IF(AND(OR(E101=2,E101=0),G101=2,F101=1),D101,"")</f>
      </c>
      <c r="Z101" s="111">
        <f>IF(AND(OR(E101=2,E101=0),G101=3,F101=1),D101,"")</f>
      </c>
      <c r="AA101" s="111">
        <f>IF(AND(OR(E101=3,E101=0),G101=1,F101=1),D101,"")</f>
      </c>
      <c r="AB101" s="111">
        <f>IF(AND(OR(E101=3,E101=0),G101=2,F101=1),D101,"")</f>
      </c>
      <c r="AC101" s="111">
        <f>IF(AND(OR(E101=3,E101=0),G101=3,F101=1),D101,"")</f>
      </c>
      <c r="AD101" s="111">
        <f>IF(AND(OR(E101=1,E101=0),G101=1,F101=0),J101,"")</f>
      </c>
      <c r="AE101" s="111">
        <f>IF(AND(OR(E101=1,E101=0),G101=2,F101=0),J101,"")</f>
      </c>
      <c r="AF101" s="111">
        <f>IF(AND(OR(E101=1,E101=0),G101=3,F101=0),J101,"")</f>
      </c>
      <c r="AG101" s="111">
        <f>IF(AND(OR(E101=1,E101=0),G101=1,F101=1),J101,"")</f>
      </c>
      <c r="AH101" s="111">
        <f>IF(AND(OR(E101=1,E101=0),G101=2,F101=1),J101,"")</f>
      </c>
      <c r="AI101" s="111">
        <f>IF(AND(OR(E101=1,E101=0),G101=3,F101=1),J101,"")</f>
      </c>
      <c r="AJ101" s="111">
        <f>IF(AND(OR(E101=2,E101=0),G101=1,F101=0),J101,"")</f>
      </c>
      <c r="AK101" s="111">
        <f>IF(AND(OR(E101=2,E101=0),G101=2,F101=0),J101,"")</f>
      </c>
      <c r="AL101" s="111">
        <f>IF(AND(OR(E101=2,E101=0),G101=3,F101=0),J101,"")</f>
      </c>
      <c r="AM101" s="111">
        <f>IF(AND(OR(E101=2,E101=0),G101=1,F101=1),J101,"")</f>
      </c>
      <c r="AN101" s="111">
        <f>IF(AND(OR(E101=2,E101=0),G101=2,F101=1),J101,"")</f>
      </c>
      <c r="AO101" s="111">
        <f>IF(AND(OR(E101=2,E101=0),G101=3,F101=1),J101,"")</f>
      </c>
      <c r="AP101" s="111">
        <f>IF(AND(OR(E101=3,E101=0),G101=1,F101=0),J101,"")</f>
      </c>
      <c r="AQ101" s="111">
        <f>IF(AND(OR(E101=3,E101=0),G101=2,F101=0),J101,"")</f>
      </c>
      <c r="AR101" s="111">
        <f>IF(AND(OR(E101=3,E101=0),G101=3,F101=0),J101,"")</f>
      </c>
      <c r="AS101" s="111">
        <f>IF(AND(OR(E101=3,E101=0),G101=1,F101=1),J101,"")</f>
      </c>
      <c r="AT101" s="111">
        <f>IF(AND(OR(E101=3,E101=0),G101=2,F101=1),J101,"")</f>
      </c>
      <c r="AU101" s="111">
        <f>IF(AND(OR(E101=3,E101=0),G101=3,F101=1),J101,"")</f>
      </c>
    </row>
    <row customHeight="true" ht="19" r="102">
      <c r="A102" s="86" t="str">
        <v>主菓子、甘い、薄茶、渋み（茶道）</v>
      </c>
      <c r="B102" s="86" t="str"/>
      <c r="C102" s="86" t="str"/>
      <c r="D102" s="116">
        <f>'持有情况'!BD88-ROW()*0.00001</f>
      </c>
      <c r="E102" s="116">
        <v>3</v>
      </c>
      <c r="F102" s="116">
        <v>1</v>
      </c>
      <c r="G102" s="116">
        <v>3</v>
      </c>
      <c r="H102" s="117">
        <v>0</v>
      </c>
      <c r="I102" s="1" t="str"/>
      <c r="J102" s="116">
        <f>INT(45+17+13*'路线'!B15+30)-ROW()*0.00001</f>
      </c>
      <c r="K102" s="1" t="str"/>
      <c r="L102" s="111">
        <f>IF(AND(OR(E102=1,E102=0),G102=1),D102,"")</f>
      </c>
      <c r="M102" s="111">
        <f>IF(AND(OR(E102=2,E102=0),G102=1),D102,"")</f>
      </c>
      <c r="N102" s="111">
        <f>IF(AND(OR(E102=3,E102=0),G102=1),D102,"")</f>
      </c>
      <c r="O102" s="111">
        <f>IF(AND(OR(E102=1,E102=0),G102=2),D102,"")</f>
      </c>
      <c r="P102" s="111">
        <f>IF(AND(OR(E102=2,E102=0),G102=2),D102,"")</f>
      </c>
      <c r="Q102" s="111">
        <f>IF(AND(OR(E102=3,E102=0),G102=2),D102,"")</f>
      </c>
      <c r="R102" s="111">
        <f>IF(AND(OR(E102=1,E102=0),G102=3),D102,"")</f>
      </c>
      <c r="S102" s="111">
        <f>IF(AND(OR(E102=2,E102=0),G102=3),D102,"")</f>
      </c>
      <c r="T102" s="111">
        <f>IF(AND(OR(E102=3,E102=0),G102=3),D102,"")</f>
      </c>
      <c r="U102" s="111">
        <f>IF(AND(OR(E102=1,E102=0),G102=1,F102=1),D102,"")</f>
      </c>
      <c r="V102" s="111">
        <f>IF(AND(OR(E102=1,E102=0),G102=2,F102=1),D102,"")</f>
      </c>
      <c r="W102" s="111">
        <f>IF(AND(OR(E102=1,E102=0),G102=3,F102=1),D102,"")</f>
      </c>
      <c r="X102" s="111">
        <f>IF(AND(OR(E102=2,E102=0),G102=1,F102=1),D102,"")</f>
      </c>
      <c r="Y102" s="111">
        <f>IF(AND(OR(E102=2,E102=0),G102=2,F102=1),D102,"")</f>
      </c>
      <c r="Z102" s="111">
        <f>IF(AND(OR(E102=2,E102=0),G102=3,F102=1),D102,"")</f>
      </c>
      <c r="AA102" s="111">
        <f>IF(AND(OR(E102=3,E102=0),G102=1,F102=1),D102,"")</f>
      </c>
      <c r="AB102" s="111">
        <f>IF(AND(OR(E102=3,E102=0),G102=2,F102=1),D102,"")</f>
      </c>
      <c r="AC102" s="111">
        <f>IF(AND(OR(E102=3,E102=0),G102=3,F102=1),D102,"")</f>
      </c>
      <c r="AD102" s="111">
        <f>IF(AND(OR(E102=1,E102=0),G102=1,F102=0),J102,"")</f>
      </c>
      <c r="AE102" s="111">
        <f>IF(AND(OR(E102=1,E102=0),G102=2,F102=0),J102,"")</f>
      </c>
      <c r="AF102" s="111">
        <f>IF(AND(OR(E102=1,E102=0),G102=3,F102=0),J102,"")</f>
      </c>
      <c r="AG102" s="111">
        <f>IF(AND(OR(E102=1,E102=0),G102=1,F102=1),J102,"")</f>
      </c>
      <c r="AH102" s="111">
        <f>IF(AND(OR(E102=1,E102=0),G102=2,F102=1),J102,"")</f>
      </c>
      <c r="AI102" s="111">
        <f>IF(AND(OR(E102=1,E102=0),G102=3,F102=1),J102,"")</f>
      </c>
      <c r="AJ102" s="111">
        <f>IF(AND(OR(E102=2,E102=0),G102=1,F102=0),J102,"")</f>
      </c>
      <c r="AK102" s="111">
        <f>IF(AND(OR(E102=2,E102=0),G102=2,F102=0),J102,"")</f>
      </c>
      <c r="AL102" s="111">
        <f>IF(AND(OR(E102=2,E102=0),G102=3,F102=0),J102,"")</f>
      </c>
      <c r="AM102" s="111">
        <f>IF(AND(OR(E102=2,E102=0),G102=1,F102=1),J102,"")</f>
      </c>
      <c r="AN102" s="111">
        <f>IF(AND(OR(E102=2,E102=0),G102=2,F102=1),J102,"")</f>
      </c>
      <c r="AO102" s="111">
        <f>IF(AND(OR(E102=2,E102=0),G102=3,F102=1),J102,"")</f>
      </c>
      <c r="AP102" s="111">
        <f>IF(AND(OR(E102=3,E102=0),G102=1,F102=0),J102,"")</f>
      </c>
      <c r="AQ102" s="111">
        <f>IF(AND(OR(E102=3,E102=0),G102=2,F102=0),J102,"")</f>
      </c>
      <c r="AR102" s="111">
        <f>IF(AND(OR(E102=3,E102=0),G102=3,F102=0),J102,"")</f>
      </c>
      <c r="AS102" s="111">
        <f>IF(AND(OR(E102=3,E102=0),G102=1,F102=1),J102,"")</f>
      </c>
      <c r="AT102" s="111">
        <f>IF(AND(OR(E102=3,E102=0),G102=2,F102=1),J102,"")</f>
      </c>
      <c r="AU102" s="111">
        <f>IF(AND(OR(E102=3,E102=0),G102=3,F102=1),J102,"")</f>
      </c>
    </row>
    <row customHeight="true" ht="19" r="103">
      <c r="A103" s="86" t="str">
        <v>わたしと美鈴、超仲良し（运动会）</v>
      </c>
      <c r="B103" s="86" t="str"/>
      <c r="C103" s="86" t="str"/>
      <c r="D103" s="116">
        <f>'持有情况'!Z118-ROW()*0.00001</f>
      </c>
      <c r="E103" s="117">
        <v>0</v>
      </c>
      <c r="F103" s="117">
        <v>0</v>
      </c>
      <c r="G103" s="116">
        <v>3</v>
      </c>
      <c r="H103" s="116">
        <v>1</v>
      </c>
      <c r="I103" s="111" t="str">
        <v>运动会</v>
      </c>
      <c r="J103" s="116">
        <f>INT((8.5/100)*'路线'!B11+2*'路线'!B23+13*'路线'!B15+40)-ROW()*0.00001</f>
      </c>
      <c r="K103" s="1" t="str"/>
      <c r="L103" s="111">
        <f>IF(AND(OR(E103=1,E103=0),G103=1),D103,"")</f>
      </c>
      <c r="M103" s="111">
        <f>IF(AND(OR(E103=2,E103=0),G103=1),D103,"")</f>
      </c>
      <c r="N103" s="111">
        <f>IF(AND(OR(E103=3,E103=0),G103=1),D103,"")</f>
      </c>
      <c r="O103" s="111">
        <f>IF(AND(OR(E103=1,E103=0),G103=2),D103,"")</f>
      </c>
      <c r="P103" s="111">
        <f>IF(AND(OR(E103=2,E103=0),G103=2),D103,"")</f>
      </c>
      <c r="Q103" s="111">
        <f>IF(AND(OR(E103=3,E103=0),G103=2),D103,"")</f>
      </c>
      <c r="R103" s="111">
        <f>IF(AND(OR(E103=1,E103=0),G103=3),D103,"")</f>
      </c>
      <c r="S103" s="111">
        <f>IF(AND(OR(E103=2,E103=0),G103=3),D103,"")</f>
      </c>
      <c r="T103" s="111">
        <f>IF(AND(OR(E103=3,E103=0),G103=3),D103,"")</f>
      </c>
      <c r="U103" s="111">
        <f>IF(AND(OR(E103=1,E103=0),G103=1,F103=1),D103,"")</f>
      </c>
      <c r="V103" s="111">
        <f>IF(AND(OR(E103=1,E103=0),G103=2,F103=1),D103,"")</f>
      </c>
      <c r="W103" s="111">
        <f>IF(AND(OR(E103=1,E103=0),G103=3,F103=1),D103,"")</f>
      </c>
      <c r="X103" s="111">
        <f>IF(AND(OR(E103=2,E103=0),G103=1,F103=1),D103,"")</f>
      </c>
      <c r="Y103" s="111">
        <f>IF(AND(OR(E103=2,E103=0),G103=2,F103=1),D103,"")</f>
      </c>
      <c r="Z103" s="111">
        <f>IF(AND(OR(E103=2,E103=0),G103=3,F103=1),D103,"")</f>
      </c>
      <c r="AA103" s="111">
        <f>IF(AND(OR(E103=3,E103=0),G103=1,F103=1),D103,"")</f>
      </c>
      <c r="AB103" s="111">
        <f>IF(AND(OR(E103=3,E103=0),G103=2,F103=1),D103,"")</f>
      </c>
      <c r="AC103" s="111">
        <f>IF(AND(OR(E103=3,E103=0),G103=3,F103=1),D103,"")</f>
      </c>
      <c r="AD103" s="111">
        <f>IF(AND(OR(E103=1,E103=0),G103=1,F103=0),J103,"")</f>
      </c>
      <c r="AE103" s="111">
        <f>IF(AND(OR(E103=1,E103=0),G103=2,F103=0),J103,"")</f>
      </c>
      <c r="AF103" s="111">
        <f>IF(AND(OR(E103=1,E103=0),G103=3,F103=0),J103,"")</f>
      </c>
      <c r="AG103" s="111">
        <f>IF(AND(OR(E103=1,E103=0),G103=1,F103=1),J103,"")</f>
      </c>
      <c r="AH103" s="111">
        <f>IF(AND(OR(E103=1,E103=0),G103=2,F103=1),J103,"")</f>
      </c>
      <c r="AI103" s="111">
        <f>IF(AND(OR(E103=1,E103=0),G103=3,F103=1),J103,"")</f>
      </c>
      <c r="AJ103" s="111">
        <f>IF(AND(OR(E103=2,E103=0),G103=1,F103=0),J103,"")</f>
      </c>
      <c r="AK103" s="111">
        <f>IF(AND(OR(E103=2,E103=0),G103=2,F103=0),J103,"")</f>
      </c>
      <c r="AL103" s="111">
        <f>IF(AND(OR(E103=2,E103=0),G103=3,F103=0),J103,"")</f>
      </c>
      <c r="AM103" s="111">
        <f>IF(AND(OR(E103=2,E103=0),G103=1,F103=1),J103,"")</f>
      </c>
      <c r="AN103" s="111">
        <f>IF(AND(OR(E103=2,E103=0),G103=2,F103=1),J103,"")</f>
      </c>
      <c r="AO103" s="111">
        <f>IF(AND(OR(E103=2,E103=0),G103=3,F103=1),J103,"")</f>
      </c>
      <c r="AP103" s="111">
        <f>IF(AND(OR(E103=3,E103=0),G103=1,F103=0),J103,"")</f>
      </c>
      <c r="AQ103" s="111">
        <f>IF(AND(OR(E103=3,E103=0),G103=2,F103=0),J103,"")</f>
      </c>
      <c r="AR103" s="111">
        <f>IF(AND(OR(E103=3,E103=0),G103=3,F103=0),J103,"")</f>
      </c>
      <c r="AS103" s="111">
        <f>IF(AND(OR(E103=3,E103=0),G103=1,F103=1),J103,"")</f>
      </c>
      <c r="AT103" s="111">
        <f>IF(AND(OR(E103=3,E103=0),G103=2,F103=1),J103,"")</f>
      </c>
      <c r="AU103" s="111">
        <f>IF(AND(OR(E103=3,E103=0),G103=3,F103=1),J103,"")</f>
      </c>
    </row>
    <row customHeight="true" ht="19" r="104">
      <c r="A104" s="99" t="str">
        <v>よくやったな、倉本。（台灯）</v>
      </c>
      <c r="B104" s="99" t="str"/>
      <c r="C104" s="99" t="str"/>
      <c r="D104" s="116">
        <f>'持有情况'!P118-ROW()*0.00001</f>
      </c>
      <c r="E104" s="116">
        <v>3</v>
      </c>
      <c r="F104" s="116">
        <v>1</v>
      </c>
      <c r="G104" s="116">
        <v>2</v>
      </c>
      <c r="H104" s="116">
        <v>1</v>
      </c>
      <c r="I104" s="111" t="str">
        <v>台灯</v>
      </c>
      <c r="J104" s="116">
        <f>INT(60+17*'路线'!B15+5*'路线'!B40+40)-ROW()*0.00001</f>
      </c>
      <c r="K104" s="1" t="str"/>
      <c r="L104" s="111">
        <f>IF(AND(OR(E104=1,E104=0),G104=1),D104,"")</f>
      </c>
      <c r="M104" s="111">
        <f>IF(AND(OR(E104=2,E104=0),G104=1),D104,"")</f>
      </c>
      <c r="N104" s="111">
        <f>IF(AND(OR(E104=3,E104=0),G104=1),D104,"")</f>
      </c>
      <c r="O104" s="111">
        <f>IF(AND(OR(E104=1,E104=0),G104=2),D104,"")</f>
      </c>
      <c r="P104" s="111">
        <f>IF(AND(OR(E104=2,E104=0),G104=2),D104,"")</f>
      </c>
      <c r="Q104" s="111">
        <f>IF(AND(OR(E104=3,E104=0),G104=2),D104,"")</f>
      </c>
      <c r="R104" s="111">
        <f>IF(AND(OR(E104=1,E104=0),G104=3),D104,"")</f>
      </c>
      <c r="S104" s="111">
        <f>IF(AND(OR(E104=2,E104=0),G104=3),D104,"")</f>
      </c>
      <c r="T104" s="111">
        <f>IF(AND(OR(E104=3,E104=0),G104=3),D104,"")</f>
      </c>
      <c r="U104" s="111">
        <f>IF(AND(OR(E104=1,E104=0),G104=1,F104=1),D104,"")</f>
      </c>
      <c r="V104" s="111">
        <f>IF(AND(OR(E104=1,E104=0),G104=2,F104=1),D104,"")</f>
      </c>
      <c r="W104" s="111">
        <f>IF(AND(OR(E104=1,E104=0),G104=3,F104=1),D104,"")</f>
      </c>
      <c r="X104" s="111">
        <f>IF(AND(OR(E104=2,E104=0),G104=1,F104=1),D104,"")</f>
      </c>
      <c r="Y104" s="111">
        <f>IF(AND(OR(E104=2,E104=0),G104=2,F104=1),D104,"")</f>
      </c>
      <c r="Z104" s="111">
        <f>IF(AND(OR(E104=2,E104=0),G104=3,F104=1),D104,"")</f>
      </c>
      <c r="AA104" s="111">
        <f>IF(AND(OR(E104=3,E104=0),G104=1,F104=1),D104,"")</f>
      </c>
      <c r="AB104" s="111">
        <f>IF(AND(OR(E104=3,E104=0),G104=2,F104=1),D104,"")</f>
      </c>
      <c r="AC104" s="111">
        <f>IF(AND(OR(E104=3,E104=0),G104=3,F104=1),D104,"")</f>
      </c>
      <c r="AD104" s="111">
        <f>IF(AND(OR(E104=1,E104=0),G104=1,F104=0),J104,"")</f>
      </c>
      <c r="AE104" s="111">
        <f>IF(AND(OR(E104=1,E104=0),G104=2,F104=0),J104,"")</f>
      </c>
      <c r="AF104" s="111">
        <f>IF(AND(OR(E104=1,E104=0),G104=3,F104=0),J104,"")</f>
      </c>
      <c r="AG104" s="111">
        <f>IF(AND(OR(E104=1,E104=0),G104=1,F104=1),J104,"")</f>
      </c>
      <c r="AH104" s="111">
        <f>IF(AND(OR(E104=1,E104=0),G104=2,F104=1),J104,"")</f>
      </c>
      <c r="AI104" s="111">
        <f>IF(AND(OR(E104=1,E104=0),G104=3,F104=1),J104,"")</f>
      </c>
      <c r="AJ104" s="111">
        <f>IF(AND(OR(E104=2,E104=0),G104=1,F104=0),J104,"")</f>
      </c>
      <c r="AK104" s="111">
        <f>IF(AND(OR(E104=2,E104=0),G104=2,F104=0),J104,"")</f>
      </c>
      <c r="AL104" s="111">
        <f>IF(AND(OR(E104=2,E104=0),G104=3,F104=0),J104,"")</f>
      </c>
      <c r="AM104" s="111">
        <f>IF(AND(OR(E104=2,E104=0),G104=1,F104=1),J104,"")</f>
      </c>
      <c r="AN104" s="111">
        <f>IF(AND(OR(E104=2,E104=0),G104=2,F104=1),J104,"")</f>
      </c>
      <c r="AO104" s="111">
        <f>IF(AND(OR(E104=2,E104=0),G104=3,F104=1),J104,"")</f>
      </c>
      <c r="AP104" s="111">
        <f>IF(AND(OR(E104=3,E104=0),G104=1,F104=0),J104,"")</f>
      </c>
      <c r="AQ104" s="111">
        <f>IF(AND(OR(E104=3,E104=0),G104=2,F104=0),J104,"")</f>
      </c>
      <c r="AR104" s="111">
        <f>IF(AND(OR(E104=3,E104=0),G104=3,F104=0),J104,"")</f>
      </c>
      <c r="AS104" s="111">
        <f>IF(AND(OR(E104=3,E104=0),G104=1,F104=1),J104,"")</f>
      </c>
      <c r="AT104" s="111">
        <f>IF(AND(OR(E104=3,E104=0),G104=2,F104=1),J104,"")</f>
      </c>
      <c r="AU104" s="111">
        <f>IF(AND(OR(E104=3,E104=0),G104=3,F104=1),J104,"")</f>
      </c>
    </row>
    <row customHeight="true" ht="19" r="105">
      <c r="A105" s="99" t="str">
        <v>あん・どぅ・とろわっ！（伸缩带）</v>
      </c>
      <c r="B105" s="99" t="str"/>
      <c r="C105" s="99" t="str"/>
      <c r="D105" s="116">
        <f>IF('路线'!B4="计算",'持有情况'!AW106,'持有情况'!AT106)-ROW()*0.00001</f>
      </c>
      <c r="E105" s="116">
        <v>3</v>
      </c>
      <c r="F105" s="116">
        <v>1</v>
      </c>
      <c r="G105" s="116">
        <v>2</v>
      </c>
      <c r="H105" s="117">
        <v>0</v>
      </c>
      <c r="I105" s="1" t="str"/>
      <c r="J105" s="116">
        <f>IF('路线'!B4="计算",INT(45+3*('路线'!B28+'路线'!B29)+13*'路线'!B15+30+'持有情况'!AW105),INT(45+3*('路线'!B28+'路线'!B29)+13*'路线'!B15+30))-ROW()*0.00001</f>
      </c>
      <c r="K105" s="1" t="str"/>
      <c r="L105" s="111">
        <f>IF(AND(OR(E105=1,E105=0),G105=1),D105,"")</f>
      </c>
      <c r="M105" s="111">
        <f>IF(AND(OR(E105=2,E105=0),G105=1),D105,"")</f>
      </c>
      <c r="N105" s="111">
        <f>IF(AND(OR(E105=3,E105=0),G105=1),D105,"")</f>
      </c>
      <c r="O105" s="111">
        <f>IF(AND(OR(E105=1,E105=0),G105=2),D105,"")</f>
      </c>
      <c r="P105" s="111">
        <f>IF(AND(OR(E105=2,E105=0),G105=2),D105,"")</f>
      </c>
      <c r="Q105" s="111">
        <f>IF(AND(OR(E105=3,E105=0),G105=2),D105,"")</f>
      </c>
      <c r="R105" s="111">
        <f>IF(AND(OR(E105=1,E105=0),G105=3),D105,"")</f>
      </c>
      <c r="S105" s="111">
        <f>IF(AND(OR(E105=2,E105=0),G105=3),D105,"")</f>
      </c>
      <c r="T105" s="111">
        <f>IF(AND(OR(E105=3,E105=0),G105=3),D105,"")</f>
      </c>
      <c r="U105" s="111">
        <f>IF(AND(OR(E105=1,E105=0),G105=1,F105=1),D105,"")</f>
      </c>
      <c r="V105" s="111">
        <f>IF(AND(OR(E105=1,E105=0),G105=2,F105=1),D105,"")</f>
      </c>
      <c r="W105" s="111">
        <f>IF(AND(OR(E105=1,E105=0),G105=3,F105=1),D105,"")</f>
      </c>
      <c r="X105" s="111">
        <f>IF(AND(OR(E105=2,E105=0),G105=1,F105=1),D105,"")</f>
      </c>
      <c r="Y105" s="111">
        <f>IF(AND(OR(E105=2,E105=0),G105=2,F105=1),D105,"")</f>
      </c>
      <c r="Z105" s="111">
        <f>IF(AND(OR(E105=2,E105=0),G105=3,F105=1),D105,"")</f>
      </c>
      <c r="AA105" s="111">
        <f>IF(AND(OR(E105=3,E105=0),G105=1,F105=1),D105,"")</f>
      </c>
      <c r="AB105" s="111">
        <f>IF(AND(OR(E105=3,E105=0),G105=2,F105=1),D105,"")</f>
      </c>
      <c r="AC105" s="111">
        <f>IF(AND(OR(E105=3,E105=0),G105=3,F105=1),D105,"")</f>
      </c>
      <c r="AD105" s="111">
        <f>IF(AND(OR(E105=1,E105=0),G105=1,F105=0),J105,"")</f>
      </c>
      <c r="AE105" s="111">
        <f>IF(AND(OR(E105=1,E105=0),G105=2,F105=0),J105,"")</f>
      </c>
      <c r="AF105" s="111">
        <f>IF(AND(OR(E105=1,E105=0),G105=3,F105=0),J105,"")</f>
      </c>
      <c r="AG105" s="111">
        <f>IF(AND(OR(E105=1,E105=0),G105=1,F105=1),J105,"")</f>
      </c>
      <c r="AH105" s="111">
        <f>IF(AND(OR(E105=1,E105=0),G105=2,F105=1),J105,"")</f>
      </c>
      <c r="AI105" s="111">
        <f>IF(AND(OR(E105=1,E105=0),G105=3,F105=1),J105,"")</f>
      </c>
      <c r="AJ105" s="111">
        <f>IF(AND(OR(E105=2,E105=0),G105=1,F105=0),J105,"")</f>
      </c>
      <c r="AK105" s="111">
        <f>IF(AND(OR(E105=2,E105=0),G105=2,F105=0),J105,"")</f>
      </c>
      <c r="AL105" s="111">
        <f>IF(AND(OR(E105=2,E105=0),G105=3,F105=0),J105,"")</f>
      </c>
      <c r="AM105" s="111">
        <f>IF(AND(OR(E105=2,E105=0),G105=1,F105=1),J105,"")</f>
      </c>
      <c r="AN105" s="111">
        <f>IF(AND(OR(E105=2,E105=0),G105=2,F105=1),J105,"")</f>
      </c>
      <c r="AO105" s="111">
        <f>IF(AND(OR(E105=2,E105=0),G105=3,F105=1),J105,"")</f>
      </c>
      <c r="AP105" s="111">
        <f>IF(AND(OR(E105=3,E105=0),G105=1,F105=0),J105,"")</f>
      </c>
      <c r="AQ105" s="111">
        <f>IF(AND(OR(E105=3,E105=0),G105=2,F105=0),J105,"")</f>
      </c>
      <c r="AR105" s="111">
        <f>IF(AND(OR(E105=3,E105=0),G105=3,F105=0),J105,"")</f>
      </c>
      <c r="AS105" s="111">
        <f>IF(AND(OR(E105=3,E105=0),G105=1,F105=1),J105,"")</f>
      </c>
      <c r="AT105" s="111">
        <f>IF(AND(OR(E105=3,E105=0),G105=2,F105=1),J105,"")</f>
      </c>
      <c r="AU105" s="111">
        <f>IF(AND(OR(E105=3,E105=0),G105=3,F105=1),J105,"")</f>
      </c>
    </row>
    <row customHeight="true" ht="19" r="106">
      <c r="A106" s="85" t="str">
        <v>みんなの意見を聞かせて♪（发饰）</v>
      </c>
      <c r="B106" s="85"/>
      <c r="C106" s="85"/>
      <c r="D106" s="113">
        <f>'持有情况'!F106-ROW()*0.00001</f>
      </c>
      <c r="E106" s="113">
        <v>3</v>
      </c>
      <c r="F106" s="113">
        <v>1</v>
      </c>
      <c r="G106" s="113">
        <v>1</v>
      </c>
      <c r="H106" s="113">
        <v>1</v>
      </c>
      <c r="I106" s="113" t="str">
        <v>发饰</v>
      </c>
      <c r="J106" s="113">
        <f>INT(60+7*'路线'!B28+5*'路线'!B30+40)-ROW()*0.00001</f>
      </c>
      <c r="K106" s="113"/>
      <c r="L106" s="114">
        <f>IF(AND(OR(E106=1,E106=0),G106=1),D106,"")</f>
      </c>
      <c r="M106" s="114">
        <f>IF(AND(OR(E106=2,E106=0),G106=1),D106,"")</f>
      </c>
      <c r="N106" s="114">
        <f>IF(AND(OR(E106=3,E106=0),G106=1),D106,"")</f>
      </c>
      <c r="O106" s="114">
        <f>IF(AND(OR(E106=1,E106=0),G106=2),D106,"")</f>
      </c>
      <c r="P106" s="114">
        <f>IF(AND(OR(E106=2,E106=0),G106=2),D106,"")</f>
      </c>
      <c r="Q106" s="114">
        <f>IF(AND(OR(E106=3,E106=0),G106=2),D106,"")</f>
      </c>
      <c r="R106" s="114">
        <f>IF(AND(OR(E106=1,E106=0),G106=3),D106,"")</f>
      </c>
      <c r="S106" s="114">
        <f>IF(AND(OR(E106=2,E106=0),G106=3),D106,"")</f>
      </c>
      <c r="T106" s="114">
        <f>IF(AND(OR(E106=3,E106=0),G106=3),D106,"")</f>
      </c>
      <c r="U106" s="114">
        <f>IF(AND(OR(E106=1,E106=0),G106=1,F106=1),D106,"")</f>
      </c>
      <c r="V106" s="114">
        <f>IF(AND(OR(E106=1,E106=0),G106=2,F106=1),D106,"")</f>
      </c>
      <c r="W106" s="114">
        <f>IF(AND(OR(E106=1,E106=0),G106=3,F106=1),D106,"")</f>
      </c>
      <c r="X106" s="114">
        <f>IF(AND(OR(E106=2,E106=0),G106=1,F106=1),D106,"")</f>
      </c>
      <c r="Y106" s="114">
        <f>IF(AND(OR(E106=2,E106=0),G106=2,F106=1),D106,"")</f>
      </c>
      <c r="Z106" s="114">
        <f>IF(AND(OR(E106=2,E106=0),G106=3,F106=1),D106,"")</f>
      </c>
      <c r="AA106" s="114">
        <f>IF(AND(OR(E106=3,E106=0),G106=1,F106=1),D106,"")</f>
      </c>
      <c r="AB106" s="114">
        <f>IF(AND(OR(E106=3,E106=0),G106=2,F106=1),D106,"")</f>
      </c>
      <c r="AC106" s="114">
        <f>IF(AND(OR(E106=3,E106=0),G106=3,F106=1),D106,"")</f>
      </c>
      <c r="AD106" s="114">
        <f>IF(AND(OR(E106=1,E106=0),G106=1,F106=0),J106,"")</f>
      </c>
      <c r="AE106" s="114">
        <f>IF(AND(OR(E106=1,E106=0),G106=2,F106=0),J106,"")</f>
      </c>
      <c r="AF106" s="114">
        <f>IF(AND(OR(E106=1,E106=0),G106=3,F106=0),J106,"")</f>
      </c>
      <c r="AG106" s="114">
        <f>IF(AND(OR(E106=1,E106=0),G106=1,F106=1),J106,"")</f>
      </c>
      <c r="AH106" s="114">
        <f>IF(AND(OR(E106=1,E106=0),G106=2,F106=1),J106,"")</f>
      </c>
      <c r="AI106" s="114">
        <f>IF(AND(OR(E106=1,E106=0),G106=3,F106=1),J106,"")</f>
      </c>
      <c r="AJ106" s="114">
        <f>IF(AND(OR(E106=2,E106=0),G106=1,F106=0),J106,"")</f>
      </c>
      <c r="AK106" s="114">
        <f>IF(AND(OR(E106=2,E106=0),G106=2,F106=0),J106,"")</f>
      </c>
      <c r="AL106" s="114">
        <f>IF(AND(OR(E106=2,E106=0),G106=3,F106=0),J106,"")</f>
      </c>
      <c r="AM106" s="114">
        <f>IF(AND(OR(E106=2,E106=0),G106=1,F106=1),J106,"")</f>
      </c>
      <c r="AN106" s="114">
        <f>IF(AND(OR(E106=2,E106=0),G106=2,F106=1),J106,"")</f>
      </c>
      <c r="AO106" s="114">
        <f>IF(AND(OR(E106=2,E106=0),G106=3,F106=1),J106,"")</f>
      </c>
      <c r="AP106" s="114">
        <f>IF(AND(OR(E106=3,E106=0),G106=1,F106=0),J106,"")</f>
      </c>
      <c r="AQ106" s="114">
        <f>IF(AND(OR(E106=3,E106=0),G106=2,F106=0),J106,"")</f>
      </c>
      <c r="AR106" s="114">
        <f>IF(AND(OR(E106=3,E106=0),G106=3,F106=0),J106,"")</f>
      </c>
      <c r="AS106" s="114">
        <f>IF(AND(OR(E106=3,E106=0),G106=1,F106=1),J106,"")</f>
      </c>
      <c r="AT106" s="114">
        <f>IF(AND(OR(E106=3,E106=0),G106=2,F106=1),J106,"")</f>
      </c>
      <c r="AU106" s="114">
        <f>IF(AND(OR(E106=3,E106=0),G106=3,F106=1),J106,"")</f>
      </c>
    </row>
    <row customHeight="true" ht="19" r="107">
      <c r="A107" s="119" t="str">
        <v>すっかり仲良しって感じ♪（金萝卜）</v>
      </c>
      <c r="B107" s="119"/>
      <c r="C107" s="119"/>
      <c r="D107" s="113">
        <f>'持有情况'!P124-ROW()*0.00001</f>
      </c>
      <c r="E107" s="113">
        <v>1</v>
      </c>
      <c r="F107" s="113">
        <v>1</v>
      </c>
      <c r="G107" s="113">
        <v>2</v>
      </c>
      <c r="H107" s="113">
        <v>1</v>
      </c>
      <c r="I107" s="113" t="str">
        <v>金萝卜</v>
      </c>
      <c r="J107" s="113">
        <f>INT(60+17+13*'路线'!B15+40)-ROW()*0.00001</f>
      </c>
      <c r="K107" s="113"/>
      <c r="L107" s="114">
        <f>IF(AND(OR(E107=1,E107=0),G107=1),D107,"")</f>
      </c>
      <c r="M107" s="114">
        <f>IF(AND(OR(E107=2,E107=0),G107=1),D107,"")</f>
      </c>
      <c r="N107" s="114">
        <f>IF(AND(OR(E107=3,E107=0),G107=1),D107,"")</f>
      </c>
      <c r="O107" s="114">
        <f>IF(AND(OR(E107=1,E107=0),G107=2),D107,"")</f>
      </c>
      <c r="P107" s="114">
        <f>IF(AND(OR(E107=2,E107=0),G107=2),D107,"")</f>
      </c>
      <c r="Q107" s="114">
        <f>IF(AND(OR(E107=3,E107=0),G107=2),D107,"")</f>
      </c>
      <c r="R107" s="114">
        <f>IF(AND(OR(E107=1,E107=0),G107=3),D107,"")</f>
      </c>
      <c r="S107" s="114">
        <f>IF(AND(OR(E107=2,E107=0),G107=3),D107,"")</f>
      </c>
      <c r="T107" s="114">
        <f>IF(AND(OR(E107=3,E107=0),G107=3),D107,"")</f>
      </c>
      <c r="U107" s="114">
        <f>IF(AND(OR(E107=1,E107=0),G107=1,F107=1),D107,"")</f>
      </c>
      <c r="V107" s="114">
        <f>IF(AND(OR(E107=1,E107=0),G107=2,F107=1),D107,"")</f>
      </c>
      <c r="W107" s="114">
        <f>IF(AND(OR(E107=1,E107=0),G107=3,F107=1),D107,"")</f>
      </c>
      <c r="X107" s="114">
        <f>IF(AND(OR(E107=2,E107=0),G107=1,F107=1),D107,"")</f>
      </c>
      <c r="Y107" s="114">
        <f>IF(AND(OR(E107=2,E107=0),G107=2,F107=1),D107,"")</f>
      </c>
      <c r="Z107" s="114">
        <f>IF(AND(OR(E107=2,E107=0),G107=3,F107=1),D107,"")</f>
      </c>
      <c r="AA107" s="114">
        <f>IF(AND(OR(E107=3,E107=0),G107=1,F107=1),D107,"")</f>
      </c>
      <c r="AB107" s="114">
        <f>IF(AND(OR(E107=3,E107=0),G107=2,F107=1),D107,"")</f>
      </c>
      <c r="AC107" s="114">
        <f>IF(AND(OR(E107=3,E107=0),G107=3,F107=1),D107,"")</f>
      </c>
      <c r="AD107" s="114">
        <f>IF(AND(OR(E107=1,E107=0),G107=1,F107=0),J107,"")</f>
      </c>
      <c r="AE107" s="114">
        <f>IF(AND(OR(E107=1,E107=0),G107=2,F107=0),J107,"")</f>
      </c>
      <c r="AF107" s="114">
        <f>IF(AND(OR(E107=1,E107=0),G107=3,F107=0),J107,"")</f>
      </c>
      <c r="AG107" s="114">
        <f>IF(AND(OR(E107=1,E107=0),G107=1,F107=1),J107,"")</f>
      </c>
      <c r="AH107" s="114">
        <f>IF(AND(OR(E107=1,E107=0),G107=2,F107=1),J107,"")</f>
      </c>
      <c r="AI107" s="114">
        <f>IF(AND(OR(E107=1,E107=0),G107=3,F107=1),J107,"")</f>
      </c>
      <c r="AJ107" s="114">
        <f>IF(AND(OR(E107=2,E107=0),G107=1,F107=0),J107,"")</f>
      </c>
      <c r="AK107" s="114">
        <f>IF(AND(OR(E107=2,E107=0),G107=2,F107=0),J107,"")</f>
      </c>
      <c r="AL107" s="114">
        <f>IF(AND(OR(E107=2,E107=0),G107=3,F107=0),J107,"")</f>
      </c>
      <c r="AM107" s="114">
        <f>IF(AND(OR(E107=2,E107=0),G107=1,F107=1),J107,"")</f>
      </c>
      <c r="AN107" s="114">
        <f>IF(AND(OR(E107=2,E107=0),G107=2,F107=1),J107,"")</f>
      </c>
      <c r="AO107" s="114">
        <f>IF(AND(OR(E107=2,E107=0),G107=3,F107=1),J107,"")</f>
      </c>
      <c r="AP107" s="114">
        <f>IF(AND(OR(E107=3,E107=0),G107=1,F107=0),J107,"")</f>
      </c>
      <c r="AQ107" s="114">
        <f>IF(AND(OR(E107=3,E107=0),G107=2,F107=0),J107,"")</f>
      </c>
      <c r="AR107" s="114">
        <f>IF(AND(OR(E107=3,E107=0),G107=3,F107=0),J107,"")</f>
      </c>
      <c r="AS107" s="114">
        <f>IF(AND(OR(E107=3,E107=0),G107=1,F107=1),J107,"")</f>
      </c>
      <c r="AT107" s="114">
        <f>IF(AND(OR(E107=3,E107=0),G107=2,F107=1),J107,"")</f>
      </c>
      <c r="AU107" s="114">
        <f>IF(AND(OR(E107=3,E107=0),G107=3,F107=1),J107,"")</f>
      </c>
    </row>
    <row customHeight="true" ht="19" r="108">
      <c r="A108" s="115" t="str">
        <v>迷子のおしらせです（mygo）</v>
      </c>
      <c r="B108" s="115"/>
      <c r="C108" s="115"/>
      <c r="D108" s="113">
        <f>'持有情况'!Z124-ROW()*0.00001</f>
      </c>
      <c r="E108" s="113">
        <v>2</v>
      </c>
      <c r="F108" s="113">
        <v>1</v>
      </c>
      <c r="G108" s="113">
        <v>3</v>
      </c>
      <c r="H108" s="113">
        <v>1</v>
      </c>
      <c r="I108" s="113" t="str">
        <v>mygo</v>
      </c>
      <c r="J108" s="113">
        <f>INT(60+7*'路线'!B29+2*'路线'!B24+40)-ROW()*0.00001</f>
      </c>
      <c r="K108" s="113"/>
      <c r="L108" s="114">
        <f>IF(AND(OR(E108=1,E108=0),G108=1),D108,"")</f>
      </c>
      <c r="M108" s="114">
        <f>IF(AND(OR(E108=2,E108=0),G108=1),D108,"")</f>
      </c>
      <c r="N108" s="114">
        <f>IF(AND(OR(E108=3,E108=0),G108=1),D108,"")</f>
      </c>
      <c r="O108" s="114">
        <f>IF(AND(OR(E108=1,E108=0),G108=2),D108,"")</f>
      </c>
      <c r="P108" s="114">
        <f>IF(AND(OR(E108=2,E108=0),G108=2),D108,"")</f>
      </c>
      <c r="Q108" s="114">
        <f>IF(AND(OR(E108=3,E108=0),G108=2),D108,"")</f>
      </c>
      <c r="R108" s="114">
        <f>IF(AND(OR(E108=1,E108=0),G108=3),D108,"")</f>
      </c>
      <c r="S108" s="114">
        <f>IF(AND(OR(E108=2,E108=0),G108=3),D108,"")</f>
      </c>
      <c r="T108" s="114">
        <f>IF(AND(OR(E108=3,E108=0),G108=3),D108,"")</f>
      </c>
      <c r="U108" s="114">
        <f>IF(AND(OR(E108=1,E108=0),G108=1,F108=1),D108,"")</f>
      </c>
      <c r="V108" s="114">
        <f>IF(AND(OR(E108=1,E108=0),G108=2,F108=1),D108,"")</f>
      </c>
      <c r="W108" s="114">
        <f>IF(AND(OR(E108=1,E108=0),G108=3,F108=1),D108,"")</f>
      </c>
      <c r="X108" s="114">
        <f>IF(AND(OR(E108=2,E108=0),G108=1,F108=1),D108,"")</f>
      </c>
      <c r="Y108" s="114">
        <f>IF(AND(OR(E108=2,E108=0),G108=2,F108=1),D108,"")</f>
      </c>
      <c r="Z108" s="114">
        <f>IF(AND(OR(E108=2,E108=0),G108=3,F108=1),D108,"")</f>
      </c>
      <c r="AA108" s="114">
        <f>IF(AND(OR(E108=3,E108=0),G108=1,F108=1),D108,"")</f>
      </c>
      <c r="AB108" s="114">
        <f>IF(AND(OR(E108=3,E108=0),G108=2,F108=1),D108,"")</f>
      </c>
      <c r="AC108" s="114">
        <f>IF(AND(OR(E108=3,E108=0),G108=3,F108=1),D108,"")</f>
      </c>
      <c r="AD108" s="114">
        <f>IF(AND(OR(E108=1,E108=0),G108=1,F108=0),J108,"")</f>
      </c>
      <c r="AE108" s="114">
        <f>IF(AND(OR(E108=1,E108=0),G108=2,F108=0),J108,"")</f>
      </c>
      <c r="AF108" s="114">
        <f>IF(AND(OR(E108=1,E108=0),G108=3,F108=0),J108,"")</f>
      </c>
      <c r="AG108" s="114">
        <f>IF(AND(OR(E108=1,E108=0),G108=1,F108=1),J108,"")</f>
      </c>
      <c r="AH108" s="114">
        <f>IF(AND(OR(E108=1,E108=0),G108=2,F108=1),J108,"")</f>
      </c>
      <c r="AI108" s="114">
        <f>IF(AND(OR(E108=1,E108=0),G108=3,F108=1),J108,"")</f>
      </c>
      <c r="AJ108" s="114">
        <f>IF(AND(OR(E108=2,E108=0),G108=1,F108=0),J108,"")</f>
      </c>
      <c r="AK108" s="114">
        <f>IF(AND(OR(E108=2,E108=0),G108=2,F108=0),J108,"")</f>
      </c>
      <c r="AL108" s="114">
        <f>IF(AND(OR(E108=2,E108=0),G108=3,F108=0),J108,"")</f>
      </c>
      <c r="AM108" s="114">
        <f>IF(AND(OR(E108=2,E108=0),G108=1,F108=1),J108,"")</f>
      </c>
      <c r="AN108" s="114">
        <f>IF(AND(OR(E108=2,E108=0),G108=2,F108=1),J108,"")</f>
      </c>
      <c r="AO108" s="114">
        <f>IF(AND(OR(E108=2,E108=0),G108=3,F108=1),J108,"")</f>
      </c>
      <c r="AP108" s="114">
        <f>IF(AND(OR(E108=3,E108=0),G108=1,F108=0),J108,"")</f>
      </c>
      <c r="AQ108" s="114">
        <f>IF(AND(OR(E108=3,E108=0),G108=2,F108=0),J108,"")</f>
      </c>
      <c r="AR108" s="114">
        <f>IF(AND(OR(E108=3,E108=0),G108=3,F108=0),J108,"")</f>
      </c>
      <c r="AS108" s="114">
        <f>IF(AND(OR(E108=3,E108=0),G108=1,F108=1),J108,"")</f>
      </c>
      <c r="AT108" s="114">
        <f>IF(AND(OR(E108=3,E108=0),G108=2,F108=1),J108,"")</f>
      </c>
      <c r="AU108" s="114">
        <f>IF(AND(OR(E108=3,E108=0),G108=3,F108=1),J108,"")</f>
      </c>
    </row>
    <row customHeight="true" ht="19" r="109">
      <c r="A109" s="115" t="str">
        <v>推し活なひととき、だね！（猫头鹰）</v>
      </c>
      <c r="B109" s="115"/>
      <c r="C109" s="115"/>
      <c r="D109" s="113">
        <f>'持有情况'!Z130-ROW()*0.00001</f>
      </c>
      <c r="E109" s="113">
        <v>2</v>
      </c>
      <c r="F109" s="113">
        <v>0</v>
      </c>
      <c r="G109" s="113">
        <v>3</v>
      </c>
      <c r="H109" s="113">
        <v>0</v>
      </c>
      <c r="I109" s="113"/>
      <c r="J109" s="113">
        <f>INT((8.5/100)*'路线'!B11+4*'路线'!B27+IF('路线'!B41&gt;6,6,'路线'!B41)*11+17*'路线'!B34+40)-ROW()*0.00001</f>
      </c>
      <c r="K109" s="113"/>
      <c r="L109" s="114">
        <f>IF(AND(OR(E109=1,E109=0),G109=1),D109,"")</f>
      </c>
      <c r="M109" s="114">
        <f>IF(AND(OR(E109=2,E109=0),G109=1),D109,"")</f>
      </c>
      <c r="N109" s="114">
        <f>IF(AND(OR(E109=3,E109=0),G109=1),D109,"")</f>
      </c>
      <c r="O109" s="114">
        <f>IF(AND(OR(E109=1,E109=0),G109=2),D109,"")</f>
      </c>
      <c r="P109" s="114">
        <f>IF(AND(OR(E109=2,E109=0),G109=2),D109,"")</f>
      </c>
      <c r="Q109" s="114">
        <f>IF(AND(OR(E109=3,E109=0),G109=2),D109,"")</f>
      </c>
      <c r="R109" s="114">
        <f>IF(AND(OR(E109=1,E109=0),G109=3),D109,"")</f>
      </c>
      <c r="S109" s="114">
        <f>IF(AND(OR(E109=2,E109=0),G109=3),D109,"")</f>
      </c>
      <c r="T109" s="114">
        <f>IF(AND(OR(E109=3,E109=0),G109=3),D109,"")</f>
      </c>
      <c r="U109" s="114">
        <f>IF(AND(OR(E109=1,E109=0),G109=1,F109=1),D109,"")</f>
      </c>
      <c r="V109" s="114">
        <f>IF(AND(OR(E109=1,E109=0),G109=2,F109=1),D109,"")</f>
      </c>
      <c r="W109" s="114">
        <f>IF(AND(OR(E109=1,E109=0),G109=3,F109=1),D109,"")</f>
      </c>
      <c r="X109" s="114">
        <f>IF(AND(OR(E109=2,E109=0),G109=1,F109=1),D109,"")</f>
      </c>
      <c r="Y109" s="114">
        <f>IF(AND(OR(E109=2,E109=0),G109=2,F109=1),D109,"")</f>
      </c>
      <c r="Z109" s="114">
        <f>IF(AND(OR(E109=2,E109=0),G109=3,F109=1),D109,"")</f>
      </c>
      <c r="AA109" s="114">
        <f>IF(AND(OR(E109=3,E109=0),G109=1,F109=1),D109,"")</f>
      </c>
      <c r="AB109" s="114">
        <f>IF(AND(OR(E109=3,E109=0),G109=2,F109=1),D109,"")</f>
      </c>
      <c r="AC109" s="114">
        <f>IF(AND(OR(E109=3,E109=0),G109=3,F109=1),D109,"")</f>
      </c>
      <c r="AD109" s="114">
        <f>IF(AND(OR(E109=1,E109=0),G109=1,F109=0),J109,"")</f>
      </c>
      <c r="AE109" s="114">
        <f>IF(AND(OR(E109=1,E109=0),G109=2,F109=0),J109,"")</f>
      </c>
      <c r="AF109" s="114">
        <f>IF(AND(OR(E109=1,E109=0),G109=3,F109=0),J109,"")</f>
      </c>
      <c r="AG109" s="114">
        <f>IF(AND(OR(E109=1,E109=0),G109=1,F109=1),J109,"")</f>
      </c>
      <c r="AH109" s="114">
        <f>IF(AND(OR(E109=1,E109=0),G109=2,F109=1),J109,"")</f>
      </c>
      <c r="AI109" s="114">
        <f>IF(AND(OR(E109=1,E109=0),G109=3,F109=1),J109,"")</f>
      </c>
      <c r="AJ109" s="114">
        <f>IF(AND(OR(E109=2,E109=0),G109=1,F109=0),J109,"")</f>
      </c>
      <c r="AK109" s="114">
        <f>IF(AND(OR(E109=2,E109=0),G109=2,F109=0),J109,"")</f>
      </c>
      <c r="AL109" s="114">
        <f>IF(AND(OR(E109=2,E109=0),G109=3,F109=0),J109,"")</f>
      </c>
      <c r="AM109" s="114">
        <f>IF(AND(OR(E109=2,E109=0),G109=1,F109=1),J109,"")</f>
      </c>
      <c r="AN109" s="114">
        <f>IF(AND(OR(E109=2,E109=0),G109=2,F109=1),J109,"")</f>
      </c>
      <c r="AO109" s="114">
        <f>IF(AND(OR(E109=2,E109=0),G109=3,F109=1),J109,"")</f>
      </c>
      <c r="AP109" s="114">
        <f>IF(AND(OR(E109=3,E109=0),G109=1,F109=0),J109,"")</f>
      </c>
      <c r="AQ109" s="114">
        <f>IF(AND(OR(E109=3,E109=0),G109=2,F109=0),J109,"")</f>
      </c>
      <c r="AR109" s="114">
        <f>IF(AND(OR(E109=3,E109=0),G109=3,F109=0),J109,"")</f>
      </c>
      <c r="AS109" s="114">
        <f>IF(AND(OR(E109=3,E109=0),G109=1,F109=1),J109,"")</f>
      </c>
      <c r="AT109" s="114">
        <f>IF(AND(OR(E109=3,E109=0),G109=2,F109=1),J109,"")</f>
      </c>
      <c r="AU109" s="114">
        <f>IF(AND(OR(E109=3,E109=0),G109=3,F109=1),J109,"")</f>
      </c>
    </row>
    <row customHeight="true" ht="19" r="110">
      <c r="A110" s="115" t="str">
        <v>ばたんきゅー（噗叽啪——）</v>
      </c>
      <c r="B110" s="115"/>
      <c r="C110" s="115"/>
      <c r="D110" s="113">
        <f>'持有情况'!BD94-ROW()*0.00001</f>
      </c>
      <c r="E110" s="113">
        <v>2</v>
      </c>
      <c r="F110" s="113">
        <v>1</v>
      </c>
      <c r="G110" s="113">
        <v>3</v>
      </c>
      <c r="H110" s="113">
        <v>0</v>
      </c>
      <c r="I110" s="113"/>
      <c r="J110" s="113">
        <f>INT(45+IF('路线'!B36&gt;3,3,'路线'!B36)*16+13*'路线'!B15+30)-ROW()*0.00001</f>
      </c>
      <c r="K110" s="113"/>
      <c r="L110" s="114">
        <f>IF(AND(OR(E110=1,E110=0),G110=1),D110,"")</f>
      </c>
      <c r="M110" s="114">
        <f>IF(AND(OR(E110=2,E110=0),G110=1),D110,"")</f>
      </c>
      <c r="N110" s="114">
        <f>IF(AND(OR(E110=3,E110=0),G110=1),D110,"")</f>
      </c>
      <c r="O110" s="114">
        <f>IF(AND(OR(E110=1,E110=0),G110=2),D110,"")</f>
      </c>
      <c r="P110" s="114">
        <f>IF(AND(OR(E110=2,E110=0),G110=2),D110,"")</f>
      </c>
      <c r="Q110" s="114">
        <f>IF(AND(OR(E110=3,E110=0),G110=2),D110,"")</f>
      </c>
      <c r="R110" s="114">
        <f>IF(AND(OR(E110=1,E110=0),G110=3),D110,"")</f>
      </c>
      <c r="S110" s="114">
        <f>IF(AND(OR(E110=2,E110=0),G110=3),D110,"")</f>
      </c>
      <c r="T110" s="114">
        <f>IF(AND(OR(E110=3,E110=0),G110=3),D110,"")</f>
      </c>
      <c r="U110" s="114">
        <f>IF(AND(OR(E110=1,E110=0),G110=1,F110=1),D110,"")</f>
      </c>
      <c r="V110" s="114">
        <f>IF(AND(OR(E110=1,E110=0),G110=2,F110=1),D110,"")</f>
      </c>
      <c r="W110" s="114">
        <f>IF(AND(OR(E110=1,E110=0),G110=3,F110=1),D110,"")</f>
      </c>
      <c r="X110" s="114">
        <f>IF(AND(OR(E110=2,E110=0),G110=1,F110=1),D110,"")</f>
      </c>
      <c r="Y110" s="114">
        <f>IF(AND(OR(E110=2,E110=0),G110=2,F110=1),D110,"")</f>
      </c>
      <c r="Z110" s="114">
        <f>IF(AND(OR(E110=2,E110=0),G110=3,F110=1),D110,"")</f>
      </c>
      <c r="AA110" s="114">
        <f>IF(AND(OR(E110=3,E110=0),G110=1,F110=1),D110,"")</f>
      </c>
      <c r="AB110" s="114">
        <f>IF(AND(OR(E110=3,E110=0),G110=2,F110=1),D110,"")</f>
      </c>
      <c r="AC110" s="114">
        <f>IF(AND(OR(E110=3,E110=0),G110=3,F110=1),D110,"")</f>
      </c>
      <c r="AD110" s="114">
        <f>IF(AND(OR(E110=1,E110=0),G110=1,F110=0),J110,"")</f>
      </c>
      <c r="AE110" s="114">
        <f>IF(AND(OR(E110=1,E110=0),G110=2,F110=0),J110,"")</f>
      </c>
      <c r="AF110" s="114">
        <f>IF(AND(OR(E110=1,E110=0),G110=3,F110=0),J110,"")</f>
      </c>
      <c r="AG110" s="114">
        <f>IF(AND(OR(E110=1,E110=0),G110=1,F110=1),J110,"")</f>
      </c>
      <c r="AH110" s="114">
        <f>IF(AND(OR(E110=1,E110=0),G110=2,F110=1),J110,"")</f>
      </c>
      <c r="AI110" s="114">
        <f>IF(AND(OR(E110=1,E110=0),G110=3,F110=1),J110,"")</f>
      </c>
      <c r="AJ110" s="114">
        <f>IF(AND(OR(E110=2,E110=0),G110=1,F110=0),J110,"")</f>
      </c>
      <c r="AK110" s="114">
        <f>IF(AND(OR(E110=2,E110=0),G110=2,F110=0),J110,"")</f>
      </c>
      <c r="AL110" s="114">
        <f>IF(AND(OR(E110=2,E110=0),G110=3,F110=0),J110,"")</f>
      </c>
      <c r="AM110" s="114">
        <f>IF(AND(OR(E110=2,E110=0),G110=1,F110=1),J110,"")</f>
      </c>
      <c r="AN110" s="114">
        <f>IF(AND(OR(E110=2,E110=0),G110=2,F110=1),J110,"")</f>
      </c>
      <c r="AO110" s="114">
        <f>IF(AND(OR(E110=2,E110=0),G110=3,F110=1),J110,"")</f>
      </c>
      <c r="AP110" s="114">
        <f>IF(AND(OR(E110=3,E110=0),G110=1,F110=0),J110,"")</f>
      </c>
      <c r="AQ110" s="114">
        <f>IF(AND(OR(E110=3,E110=0),G110=2,F110=0),J110,"")</f>
      </c>
      <c r="AR110" s="114">
        <f>IF(AND(OR(E110=3,E110=0),G110=3,F110=0),J110,"")</f>
      </c>
      <c r="AS110" s="114">
        <f>IF(AND(OR(E110=3,E110=0),G110=1,F110=1),J110,"")</f>
      </c>
      <c r="AT110" s="114">
        <f>IF(AND(OR(E110=3,E110=0),G110=2,F110=1),J110,"")</f>
      </c>
      <c r="AU110" s="114">
        <f>IF(AND(OR(E110=3,E110=0),G110=3,F110=1),J110,"")</f>
      </c>
    </row>
    <row customHeight="true" ht="19" r="111">
      <c r="A111" s="116" t="str"/>
      <c r="B111" s="116" t="str"/>
      <c r="C111" s="116" t="str"/>
      <c r="D111" s="116" t="str"/>
      <c r="E111" s="116" t="str"/>
      <c r="F111" s="116" t="str"/>
      <c r="G111" s="116" t="str"/>
      <c r="H111" s="116" t="str"/>
      <c r="I111" s="116" t="str"/>
      <c r="J111" s="116" t="str"/>
      <c r="K111" s="116" t="str"/>
      <c r="L111" s="116" t="str"/>
      <c r="M111" s="116" t="str"/>
      <c r="N111" s="116" t="str"/>
      <c r="O111" s="116" t="str"/>
      <c r="P111" s="116" t="str"/>
    </row>
    <row customHeight="true" ht="19" r="112">
      <c r="A112" s="116" t="str"/>
      <c r="B112" s="116" t="str"/>
      <c r="C112" s="116" t="str"/>
      <c r="D112" s="116" t="str"/>
      <c r="E112" s="116" t="str"/>
      <c r="F112" s="116" t="str"/>
      <c r="G112" s="116" t="str"/>
      <c r="H112" s="116" t="str"/>
      <c r="I112" s="116" t="str"/>
      <c r="J112" s="116" t="str"/>
      <c r="K112" s="116" t="str"/>
      <c r="L112" s="116" t="str"/>
      <c r="M112" s="116" t="str"/>
      <c r="N112" s="116" t="str"/>
      <c r="O112" s="116" t="str"/>
      <c r="P112" s="116" t="str"/>
    </row>
    <row customHeight="true" ht="19" r="113">
      <c r="A113" s="117" t="str"/>
      <c r="B113" s="111" t="str"/>
      <c r="C113" s="111" t="str"/>
      <c r="D113" s="116" t="str"/>
      <c r="E113" s="116" t="str"/>
      <c r="H113" s="116" t="str"/>
      <c r="I113" s="116" t="str"/>
      <c r="J113" s="116" t="str"/>
      <c r="K113" s="116" t="str"/>
      <c r="L113" s="116" t="str"/>
      <c r="M113" s="111" t="str"/>
      <c r="N113" s="1" t="str"/>
      <c r="O113" s="1" t="str"/>
      <c r="P113" s="1" t="str"/>
      <c r="Q113" s="1" t="str"/>
      <c r="R113" s="111" t="str"/>
      <c r="S113" s="1" t="str"/>
      <c r="T113" s="1" t="str"/>
      <c r="U113" s="1" t="str"/>
    </row>
    <row customHeight="true" ht="19" r="114">
      <c r="A114" s="116" t="str"/>
      <c r="B114" s="117" t="str"/>
      <c r="C114" s="116" t="str"/>
      <c r="D114" s="116" t="str"/>
      <c r="E114" s="116" t="str"/>
      <c r="F114" s="116" t="str"/>
      <c r="G114" s="116" t="str"/>
      <c r="H114" s="116" t="str"/>
      <c r="I114" s="116" t="str"/>
      <c r="J114" s="116" t="str"/>
      <c r="K114" s="116" t="str"/>
      <c r="L114" s="116" t="str"/>
      <c r="M114" s="116" t="str"/>
      <c r="N114" s="116" t="str"/>
      <c r="O114" s="116" t="str"/>
      <c r="P114" s="117" t="str"/>
      <c r="Q114" s="1" t="str"/>
      <c r="R114" s="111" t="str"/>
      <c r="S114" s="111" t="str"/>
      <c r="T114" s="111" t="str"/>
      <c r="U114" s="111" t="str"/>
    </row>
    <row customHeight="true" ht="19" r="115">
      <c r="A115" s="116" t="str"/>
      <c r="B115" s="116" t="str"/>
      <c r="C115" s="116" t="str"/>
      <c r="D115" s="116" t="str"/>
      <c r="E115" s="116" t="str"/>
      <c r="F115" s="116" t="str"/>
      <c r="G115" s="116" t="str"/>
      <c r="H115" s="116" t="str"/>
      <c r="I115" s="116" t="str"/>
      <c r="J115" s="116" t="str"/>
      <c r="K115" s="116" t="str"/>
      <c r="L115" s="116" t="str"/>
      <c r="M115" s="116" t="str"/>
      <c r="N115" s="116" t="str"/>
      <c r="O115" s="116" t="str"/>
      <c r="P115" s="117" t="str"/>
      <c r="Q115" s="1" t="str"/>
      <c r="R115" s="111" t="str"/>
      <c r="S115" s="111" t="str"/>
      <c r="T115" s="111" t="str"/>
      <c r="U115" s="111" t="str"/>
    </row>
    <row customHeight="true" ht="19" r="116">
      <c r="A116" s="116" t="str"/>
      <c r="B116" s="116" t="str"/>
      <c r="C116" s="116" t="str"/>
      <c r="D116" s="116" t="str"/>
      <c r="E116" s="116" t="str"/>
      <c r="F116" s="116" t="str"/>
      <c r="G116" s="116" t="str"/>
      <c r="H116" s="116" t="str"/>
      <c r="I116" s="116" t="str"/>
      <c r="J116" s="116" t="str"/>
      <c r="K116" s="116" t="str"/>
      <c r="L116" s="116" t="str"/>
      <c r="M116" s="116" t="str"/>
      <c r="N116" s="116" t="str"/>
      <c r="O116" s="116" t="str"/>
      <c r="P116" s="117" t="str"/>
      <c r="Q116" s="1" t="str"/>
      <c r="R116" s="111" t="str"/>
      <c r="S116" s="111" t="str"/>
      <c r="T116" s="111" t="str"/>
      <c r="U116" s="111" t="str"/>
    </row>
    <row customHeight="true" ht="19" r="117">
      <c r="A117" s="116" t="str"/>
      <c r="B117" s="116" t="str"/>
      <c r="C117" s="116" t="str"/>
      <c r="D117" s="116" t="str"/>
      <c r="E117" s="116" t="str"/>
      <c r="F117" s="116" t="str"/>
      <c r="G117" s="116" t="str"/>
      <c r="H117" s="116" t="str"/>
      <c r="I117" s="116" t="str"/>
      <c r="J117" s="116" t="str"/>
      <c r="K117" s="116" t="str"/>
      <c r="L117" s="116" t="str"/>
    </row>
    <row customHeight="true" ht="19" r="118">
      <c r="G118" s="116" t="str"/>
      <c r="H118" s="116" t="str"/>
      <c r="I118" s="116" t="str"/>
      <c r="J118" s="116" t="str"/>
      <c r="K118" s="116" t="str"/>
      <c r="L118" s="116" t="str"/>
    </row>
    <row customHeight="true" ht="19" r="119">
      <c r="A119" s="120" t="str"/>
      <c r="B119" s="116" t="str"/>
      <c r="C119" s="116" t="str"/>
      <c r="D119" s="116" t="str"/>
      <c r="E119" s="116" t="str"/>
      <c r="F119" s="116" t="str"/>
      <c r="M119" s="111" t="str"/>
      <c r="N119" s="1" t="str"/>
      <c r="O119" s="1" t="str"/>
      <c r="P119" s="111" t="str"/>
    </row>
    <row customHeight="true" ht="19" r="120">
      <c r="M120" s="118" t="str"/>
      <c r="N120" s="1" t="str"/>
      <c r="O120" s="1" t="str"/>
      <c r="P120" s="111" t="str"/>
    </row>
    <row customHeight="true" ht="19" r="121">
      <c r="M121" s="118" t="str"/>
      <c r="N121" s="1" t="str"/>
      <c r="O121" s="1" t="str"/>
      <c r="P121" s="111" t="str"/>
    </row>
    <row customHeight="true" ht="19" r="122">
      <c r="M122" s="118" t="str"/>
      <c r="N122" s="1" t="str"/>
      <c r="O122" s="1" t="str"/>
      <c r="P122" s="111" t="str"/>
    </row>
    <row customHeight="true" ht="19" r="123">
      <c r="M123" s="118" t="str"/>
      <c r="N123" s="1" t="str"/>
      <c r="O123" s="1" t="str"/>
      <c r="P123" s="111" t="str"/>
    </row>
    <row customHeight="true" ht="19" r="124">
      <c r="M124" s="1" t="str"/>
      <c r="N124" s="1" t="str"/>
      <c r="O124" s="1" t="str"/>
      <c r="P124" s="1" t="str"/>
    </row>
    <row customHeight="true" ht="19" r="125">
      <c r="M125" s="111" t="str"/>
      <c r="N125" s="1" t="str"/>
      <c r="O125" s="1" t="str"/>
      <c r="P125" s="111" t="str"/>
    </row>
    <row customHeight="true" ht="19" r="126">
      <c r="M126" s="111" t="str"/>
      <c r="N126" s="1" t="str"/>
      <c r="O126" s="1" t="str"/>
      <c r="P126" s="111" t="str"/>
    </row>
    <row customHeight="true" ht="19" r="127">
      <c r="M127" s="111" t="str"/>
      <c r="N127" s="1" t="str"/>
      <c r="O127" s="1" t="str"/>
      <c r="P127" s="111" t="str"/>
    </row>
    <row customHeight="true" ht="19" r="128">
      <c r="M128" s="111" t="str"/>
      <c r="N128" s="1" t="str"/>
      <c r="O128" s="1" t="str"/>
      <c r="P128" s="111" t="str"/>
    </row>
    <row customHeight="true" ht="19" r="129">
      <c r="M129" s="111" t="str"/>
      <c r="N129" s="1" t="str"/>
      <c r="O129" s="1" t="str"/>
      <c r="P129" s="111" t="str"/>
    </row>
  </sheetData>
</worksheet>
</file>

<file path=xl/worksheets/sheet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FFFFFF"/>
    <outlinePr summaryBelow="false" summaryRight="false"/>
  </sheetPr>
  <dimension ref="A1"/>
  <sheetViews>
    <sheetView showGridLines="true" workbookViewId="0"/>
  </sheetViews>
  <sheetFormatPr defaultColWidth="14" defaultRowHeight="19"/>
  <cols>
    <col collapsed="false" customWidth="true" hidden="false" max="1" min="1" style="0" width="14"/>
    <col collapsed="false" customWidth="true" hidden="false" max="2" min="2" style="0" width="14"/>
    <col collapsed="false" customWidth="true" hidden="false" max="3" min="3" style="0" width="14"/>
    <col collapsed="false" customWidth="true" hidden="false" max="4" min="4" style="0" width="14"/>
    <col collapsed="false" customWidth="true" hidden="false" max="5" min="5" style="0" width="14"/>
    <col collapsed="false" customWidth="true" hidden="false" max="6" min="6" style="0" width="14"/>
    <col collapsed="false" customWidth="true" hidden="false" max="7" min="7" style="0" width="14"/>
    <col collapsed="false" customWidth="true" hidden="false" max="8" min="8" style="0" width="14"/>
    <col collapsed="false" customWidth="true" hidden="false" max="9" min="9" style="0" width="14"/>
    <col collapsed="false" customWidth="true" hidden="false" max="10" min="10" style="0" width="14"/>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 collapsed="false" customWidth="true" hidden="false" max="22" min="22" style="0" width="14"/>
    <col collapsed="false" customWidth="true" hidden="false" max="23" min="23" style="0" width="14"/>
    <col collapsed="false" customWidth="true" hidden="false" max="24" min="24" style="0" width="14"/>
    <col collapsed="false" customWidth="true" hidden="false" max="25" min="25" style="0" width="14"/>
    <col collapsed="false" customWidth="true" hidden="false" max="26" min="26" style="0" width="14"/>
    <col collapsed="false" customWidth="true" hidden="false" max="27" min="27" style="0" width="14"/>
    <col collapsed="false" customWidth="true" hidden="false" max="28" min="28" style="0" width="14"/>
    <col collapsed="false" customWidth="true" hidden="false" max="29" min="29" style="0" width="14"/>
    <col collapsed="false" customWidth="true" hidden="false" max="30" min="30" style="0" width="14"/>
    <col collapsed="false" customWidth="true" hidden="false" max="31" min="31" style="0" width="14"/>
    <col collapsed="false" customWidth="true" hidden="false" max="32" min="32" style="0" width="14"/>
    <col collapsed="false" customWidth="true" hidden="false" max="33" min="33" style="0" width="14"/>
    <col collapsed="false" customWidth="true" hidden="false" max="34" min="34" style="0" width="14"/>
    <col collapsed="false" customWidth="true" hidden="false" max="35" min="35" style="0" width="14"/>
    <col collapsed="false" customWidth="true" hidden="false" max="36" min="36" style="0" width="14"/>
    <col collapsed="false" customWidth="true" hidden="false" max="37" min="37" style="0" width="14"/>
    <col collapsed="false" customWidth="true" hidden="false" max="38" min="38" style="0" width="14"/>
    <col collapsed="false" customWidth="true" hidden="false" max="39" min="39" style="0" width="14"/>
    <col collapsed="false" customWidth="true" hidden="false" max="40" min="40" style="0" width="14"/>
    <col collapsed="false" customWidth="true" hidden="false" max="41" min="41" style="0" width="14"/>
    <col collapsed="false" customWidth="true" hidden="false" max="42" min="42" style="0" width="14"/>
    <col collapsed="false" customWidth="true" hidden="false" max="43" min="43" style="0" width="14"/>
    <col collapsed="false" customWidth="true" hidden="false" max="44" min="44" style="0" width="14"/>
    <col collapsed="false" customWidth="true" hidden="false" max="45" min="45" style="0" width="14"/>
    <col collapsed="false" customWidth="true" hidden="false" max="46" min="46" style="0" width="14"/>
    <col collapsed="false" customWidth="true" hidden="false" max="47" min="47" style="0" width="14"/>
  </cols>
  <sheetData>
    <row customHeight="true" ht="19" r="1">
      <c r="A1" s="1" t="str"/>
      <c r="B1" s="1" t="str"/>
      <c r="C1" s="1" t="str"/>
      <c r="D1" s="111" t="str">
        <v>属性值</v>
      </c>
      <c r="E1" s="122" t="str">
        <v>流派</v>
      </c>
      <c r="F1" s="122" t="str">
        <v>sp</v>
      </c>
      <c r="G1" s="122" t="str">
        <v>属性</v>
      </c>
      <c r="H1" s="111" t="str">
        <v>污染</v>
      </c>
      <c r="I1" s="111" t="str">
        <v>带出道具或S卡</v>
      </c>
      <c r="J1" s="111" t="str">
        <v>满破属性</v>
      </c>
      <c r="K1" s="1" t="str"/>
      <c r="L1" s="111" t="str">
        <v>红感性</v>
      </c>
      <c r="M1" s="111" t="str">
        <v>红理性</v>
      </c>
      <c r="N1" s="111" t="str">
        <v>红非凡</v>
      </c>
      <c r="O1" s="111" t="str">
        <v>蓝感性</v>
      </c>
      <c r="P1" s="111" t="str">
        <v>蓝理性</v>
      </c>
      <c r="Q1" s="111" t="str">
        <v>蓝非凡</v>
      </c>
      <c r="R1" s="111" t="str">
        <v>黄感性</v>
      </c>
      <c r="S1" s="111" t="str">
        <v>黄理性</v>
      </c>
      <c r="T1" s="111" t="str">
        <v>黄非凡</v>
      </c>
      <c r="U1" s="111" t="str">
        <v>红感性sp</v>
      </c>
      <c r="V1" s="111" t="str">
        <v>蓝感性sp</v>
      </c>
      <c r="W1" s="111" t="str">
        <v>黄感性sp</v>
      </c>
      <c r="X1" s="111" t="str">
        <v>红理性sp</v>
      </c>
      <c r="Y1" s="111" t="str">
        <v>蓝理性sp</v>
      </c>
      <c r="Z1" s="111" t="str">
        <v>黄理性sp</v>
      </c>
      <c r="AA1" s="111" t="str">
        <v>红非凡sp</v>
      </c>
      <c r="AB1" s="111" t="str">
        <v>蓝非凡sp</v>
      </c>
      <c r="AC1" s="111" t="str">
        <v>黄非凡sp</v>
      </c>
      <c r="AD1" s="111" t="str">
        <v>红借卡感性非sp</v>
      </c>
      <c r="AE1" s="111" t="str">
        <v>蓝借卡感性非sp</v>
      </c>
      <c r="AF1" s="111" t="str">
        <v>黄借卡感性非sp</v>
      </c>
      <c r="AG1" s="111" t="str">
        <v>红借卡感性sp</v>
      </c>
      <c r="AH1" s="111" t="str">
        <v>蓝借卡感性sp</v>
      </c>
      <c r="AI1" s="111" t="str">
        <v>黄借卡感性sp</v>
      </c>
      <c r="AJ1" s="111" t="str">
        <v>红借卡理性非sp</v>
      </c>
      <c r="AK1" s="111" t="str">
        <v>蓝借卡理性非sp</v>
      </c>
      <c r="AL1" s="111" t="str">
        <v>黄借卡理性非sp</v>
      </c>
      <c r="AM1" s="111" t="str">
        <v>红借卡理性sp</v>
      </c>
      <c r="AN1" s="111" t="str">
        <v>蓝借卡理性sp</v>
      </c>
      <c r="AO1" s="111" t="str">
        <v>黄借卡理性sp</v>
      </c>
      <c r="AP1" s="111" t="str">
        <v>红借卡非凡非sp</v>
      </c>
      <c r="AQ1" s="111" t="str">
        <v>蓝借卡非凡非sp</v>
      </c>
      <c r="AR1" s="111" t="str">
        <v>黄借卡非凡非sp</v>
      </c>
      <c r="AS1" s="111" t="str">
        <v>红借卡非凡sp</v>
      </c>
      <c r="AT1" s="111" t="str">
        <v>蓝借卡非凡sp</v>
      </c>
      <c r="AU1" s="111" t="str">
        <v>黄借卡非凡sp</v>
      </c>
    </row>
    <row customHeight="true" ht="19" r="2">
      <c r="A2" s="75" t="str">
        <v>相変わらず不器用ね（幼驯染）</v>
      </c>
      <c r="B2" s="75" t="str"/>
      <c r="C2" s="75" t="str"/>
      <c r="D2" s="116">
        <f>持有情况!G100-ROW()*1e-05</f>
      </c>
      <c r="E2" s="116">
        <v>2</v>
      </c>
      <c r="F2" s="117">
        <v>0</v>
      </c>
      <c r="G2" s="116">
        <v>1</v>
      </c>
      <c r="H2" s="117">
        <v>0</v>
      </c>
      <c r="I2" s="1" t="str"/>
      <c r="J2" s="116">
        <f>INT(60+4*路线!B27+17*路线!B18+15*路线!B31+40)-ROW()*1e-05</f>
      </c>
      <c r="K2" s="1" t="str"/>
      <c r="L2" s="111">
        <f>IF(AND(OR(E2=1,E2=0),G2=1),D2,"")</f>
      </c>
      <c r="M2" s="111">
        <f>IF(AND(OR(E2=2,E2=0),G2=1),D2,"")</f>
      </c>
      <c r="N2" s="111">
        <f>IF(AND(OR(E2=3,E2=0),G2=1),D2,"")</f>
      </c>
      <c r="O2" s="111">
        <f>IF(AND(OR(E2=1,E2=0),G2=2),D2,"")</f>
      </c>
      <c r="P2" s="111">
        <f>IF(AND(OR(E2=2,E2=0),G2=2),D2,"")</f>
      </c>
      <c r="Q2" s="111">
        <f>IF(AND(OR(E2=3,E2=0),G2=2),D2,"")</f>
      </c>
      <c r="R2" s="111">
        <f>IF(AND(OR(E2=1,E2=0),G2=3),D2,"")</f>
      </c>
      <c r="S2" s="111">
        <f>IF(AND(OR(E2=2,E2=0),G2=3),D2,"")</f>
      </c>
      <c r="T2" s="111">
        <f>IF(AND(OR(E2=3,E2=0),G2=3),D2,"")</f>
      </c>
      <c r="U2" s="111">
        <f>IF(AND(OR(E2=1,E2=0),G2=1,F2=1),D2,"")</f>
      </c>
      <c r="V2" s="111">
        <f>IF(AND(OR(E2=1,E2=0),G2=2,F2=1),D2,"")</f>
      </c>
      <c r="W2" s="111">
        <f>IF(AND(OR(E2=1,E2=0),G2=3,F2=1),D2,"")</f>
      </c>
      <c r="X2" s="111">
        <f>IF(AND(OR(E2=2,E2=0),G2=1,F2=1),D2,"")</f>
      </c>
      <c r="Y2" s="111">
        <f>IF(AND(OR(E2=2,E2=0),G2=2,F2=1),D2,"")</f>
      </c>
      <c r="Z2" s="111">
        <f>IF(AND(OR(E2=2,E2=0),G2=3,F2=1),D2,"")</f>
      </c>
      <c r="AA2" s="111">
        <f>IF(AND(OR(E2=3,E2=0),G2=1,F2=1),D2,"")</f>
      </c>
      <c r="AB2" s="111">
        <f>IF(AND(OR(E2=3,E2=0),G2=2,F2=1),D2,"")</f>
      </c>
      <c r="AC2" s="111">
        <f>IF(AND(OR(E2=3,E2=0),G2=3,F2=1),D2,"")</f>
      </c>
      <c r="AD2" s="111">
        <f>IF(AND(OR(E2=1,E2=0),G2=1,F2=0),J2,"")</f>
      </c>
      <c r="AE2" s="111">
        <f>IF(AND(OR(E2=1,E2=0),G2=2,F2=0),J2,"")</f>
      </c>
      <c r="AF2" s="111">
        <f>IF(AND(OR(E2=1,E2=0),G2=3,F2=0),J2,"")</f>
      </c>
      <c r="AG2" s="111">
        <f>IF(AND(OR(E2=1,E2=0),G2=1,F2=1),J2,"")</f>
      </c>
      <c r="AH2" s="111">
        <f>IF(AND(OR(E2=1,E2=0),G2=2,F2=1),J2,"")</f>
      </c>
      <c r="AI2" s="111">
        <f>IF(AND(OR(E2=1,E2=0),G2=3,F2=1),J2,"")</f>
      </c>
      <c r="AJ2" s="111">
        <f>IF(AND(OR(E2=2,E2=0),G2=1,F2=0),J2,"")</f>
      </c>
      <c r="AK2" s="111">
        <f>IF(AND(OR(E2=2,E2=0),G2=2,F2=0),J2,"")</f>
      </c>
      <c r="AL2" s="111">
        <f>IF(AND(OR(E2=2,E2=0),G2=3,F2=0),J2,"")</f>
      </c>
      <c r="AM2" s="111">
        <f>IF(AND(OR(E2=2,E2=0),G2=1,F2=1),J2,"")</f>
      </c>
      <c r="AN2" s="111">
        <f>IF(AND(OR(E2=2,E2=0),G2=2,F2=1),J2,"")</f>
      </c>
      <c r="AO2" s="111">
        <f>IF(AND(OR(E2=2,E2=0),G2=3,F2=1),J2,"")</f>
      </c>
      <c r="AP2" s="111">
        <f>IF(AND(OR(E2=3,E2=0),G2=1,F2=0),J2,"")</f>
      </c>
      <c r="AQ2" s="111">
        <f>IF(AND(OR(E2=3,E2=0),G2=2,F2=0),J2,"")</f>
      </c>
      <c r="AR2" s="111">
        <f>IF(AND(OR(E2=3,E2=0),G2=3,F2=0),J2,"")</f>
      </c>
      <c r="AS2" s="111">
        <f>IF(AND(OR(E2=3,E2=0),G2=1,F2=1),J2,"")</f>
      </c>
      <c r="AT2" s="111">
        <f>IF(AND(OR(E2=3,E2=0),G2=2,F2=1),J2,"")</f>
      </c>
      <c r="AU2" s="111">
        <f>IF(AND(OR(E2=3,E2=0),G2=3,F2=1),J2,"")</f>
      </c>
    </row>
    <row customHeight="true" ht="19" r="3">
      <c r="A3" s="99" t="str">
        <v>夏を満喫するわよ！（水枪）</v>
      </c>
      <c r="B3" s="99" t="str"/>
      <c r="C3" s="99" t="str"/>
      <c r="D3" s="116">
        <f>持有情况!Q46-ROW()*1e-05</f>
      </c>
      <c r="E3" s="116">
        <v>2</v>
      </c>
      <c r="F3" s="117">
        <v>0</v>
      </c>
      <c r="G3" s="116">
        <v>2</v>
      </c>
      <c r="H3" s="116">
        <v>1</v>
      </c>
      <c r="I3" s="111" t="str">
        <v>水枪</v>
      </c>
      <c r="J3" s="116">
        <f>INT((8.5/100)*路线!B12+9*路线!B29+17*路线!B18+7*路线!B30+40)-ROW()*1e-05</f>
      </c>
      <c r="K3" s="1" t="str"/>
      <c r="L3" s="111">
        <f>IF(AND(OR(E3=1,E3=0),G3=1),D3,"")</f>
      </c>
      <c r="M3" s="111">
        <f>IF(AND(OR(E3=2,E3=0),G3=1),D3,"")</f>
      </c>
      <c r="N3" s="111">
        <f>IF(AND(OR(E3=3,E3=0),G3=1),D3,"")</f>
      </c>
      <c r="O3" s="111">
        <f>IF(AND(OR(E3=1,E3=0),G3=2),D3,"")</f>
      </c>
      <c r="P3" s="111">
        <f>IF(AND(OR(E3=2,E3=0),G3=2),D3,"")</f>
      </c>
      <c r="Q3" s="111">
        <f>IF(AND(OR(E3=3,E3=0),G3=2),D3,"")</f>
      </c>
      <c r="R3" s="111">
        <f>IF(AND(OR(E3=1,E3=0),G3=3),D3,"")</f>
      </c>
      <c r="S3" s="111">
        <f>IF(AND(OR(E3=2,E3=0),G3=3),D3,"")</f>
      </c>
      <c r="T3" s="111">
        <f>IF(AND(OR(E3=3,E3=0),G3=3),D3,"")</f>
      </c>
      <c r="U3" s="111">
        <f>IF(AND(OR(E3=1,E3=0),G3=1,F3=1),D3,"")</f>
      </c>
      <c r="V3" s="111">
        <f>IF(AND(OR(E3=1,E3=0),G3=2,F3=1),D3,"")</f>
      </c>
      <c r="W3" s="111">
        <f>IF(AND(OR(E3=1,E3=0),G3=3,F3=1),D3,"")</f>
      </c>
      <c r="X3" s="111">
        <f>IF(AND(OR(E3=2,E3=0),G3=1,F3=1),D3,"")</f>
      </c>
      <c r="Y3" s="111">
        <f>IF(AND(OR(E3=2,E3=0),G3=2,F3=1),D3,"")</f>
      </c>
      <c r="Z3" s="111">
        <f>IF(AND(OR(E3=2,E3=0),G3=3,F3=1),D3,"")</f>
      </c>
      <c r="AA3" s="111">
        <f>IF(AND(OR(E3=3,E3=0),G3=1,F3=1),D3,"")</f>
      </c>
      <c r="AB3" s="111">
        <f>IF(AND(OR(E3=3,E3=0),G3=2,F3=1),D3,"")</f>
      </c>
      <c r="AC3" s="111">
        <f>IF(AND(OR(E3=3,E3=0),G3=3,F3=1),D3,"")</f>
      </c>
      <c r="AD3" s="111">
        <f>IF(AND(OR(E3=1,E3=0),G3=1,F3=0),J3,"")</f>
      </c>
      <c r="AE3" s="111">
        <f>IF(AND(OR(E3=1,E3=0),G3=2,F3=0),J3,"")</f>
      </c>
      <c r="AF3" s="111">
        <f>IF(AND(OR(E3=1,E3=0),G3=3,F3=0),J3,"")</f>
      </c>
      <c r="AG3" s="111">
        <f>IF(AND(OR(E3=1,E3=0),G3=1,F3=1),J3,"")</f>
      </c>
      <c r="AH3" s="111">
        <f>IF(AND(OR(E3=1,E3=0),G3=2,F3=1),J3,"")</f>
      </c>
      <c r="AI3" s="111">
        <f>IF(AND(OR(E3=1,E3=0),G3=3,F3=1),J3,"")</f>
      </c>
      <c r="AJ3" s="111">
        <f>IF(AND(OR(E3=2,E3=0),G3=1,F3=0),J3,"")</f>
      </c>
      <c r="AK3" s="111">
        <f>IF(AND(OR(E3=2,E3=0),G3=2,F3=0),J3,"")</f>
      </c>
      <c r="AL3" s="111">
        <f>IF(AND(OR(E3=2,E3=0),G3=3,F3=0),J3,"")</f>
      </c>
      <c r="AM3" s="111">
        <f>IF(AND(OR(E3=2,E3=0),G3=1,F3=1),J3,"")</f>
      </c>
      <c r="AN3" s="111">
        <f>IF(AND(OR(E3=2,E3=0),G3=2,F3=1),J3,"")</f>
      </c>
      <c r="AO3" s="111">
        <f>IF(AND(OR(E3=2,E3=0),G3=3,F3=1),J3,"")</f>
      </c>
      <c r="AP3" s="111">
        <f>IF(AND(OR(E3=3,E3=0),G3=1,F3=0),J3,"")</f>
      </c>
      <c r="AQ3" s="111">
        <f>IF(AND(OR(E3=3,E3=0),G3=2,F3=0),J3,"")</f>
      </c>
      <c r="AR3" s="111">
        <f>IF(AND(OR(E3=3,E3=0),G3=3,F3=0),J3,"")</f>
      </c>
      <c r="AS3" s="111">
        <f>IF(AND(OR(E3=3,E3=0),G3=1,F3=1),J3,"")</f>
      </c>
      <c r="AT3" s="111">
        <f>IF(AND(OR(E3=3,E3=0),G3=2,F3=1),J3,"")</f>
      </c>
      <c r="AU3" s="111">
        <f>IF(AND(OR(E3=3,E3=0),G3=3,F3=1),J3,"")</f>
      </c>
    </row>
    <row customHeight="true" ht="19" r="4">
      <c r="A4" s="99" t="str">
        <v>ここから始まるんだね！（相册）</v>
      </c>
      <c r="B4" s="99" t="str"/>
      <c r="C4" s="99" t="str"/>
      <c r="D4" s="116">
        <f>持有情况!Q106-ROW()*1e-05</f>
      </c>
      <c r="E4" s="116">
        <v>1</v>
      </c>
      <c r="F4" s="117">
        <v>0</v>
      </c>
      <c r="G4" s="116">
        <v>2</v>
      </c>
      <c r="H4" s="116">
        <v>1</v>
      </c>
      <c r="I4" s="111" t="str">
        <v>相册</v>
      </c>
      <c r="J4" s="116">
        <f>INT((8.5/100)*路线!B12+11*路线!B35+17*路线!B18+7*路线!B30+40)-ROW()*1e-05</f>
      </c>
      <c r="K4" s="1" t="str"/>
      <c r="L4" s="111">
        <f>IF(AND(OR(E4=1,E4=0),G4=1),D4,"")</f>
      </c>
      <c r="M4" s="111">
        <f>IF(AND(OR(E4=2,E4=0),G4=1),D4,"")</f>
      </c>
      <c r="N4" s="111">
        <f>IF(AND(OR(E4=3,E4=0),G4=1),D4,"")</f>
      </c>
      <c r="O4" s="111">
        <f>IF(AND(OR(E4=1,E4=0),G4=2),D4,"")</f>
      </c>
      <c r="P4" s="111">
        <f>IF(AND(OR(E4=2,E4=0),G4=2),D4,"")</f>
      </c>
      <c r="Q4" s="111">
        <f>IF(AND(OR(E4=3,E4=0),G4=2),D4,"")</f>
      </c>
      <c r="R4" s="111">
        <f>IF(AND(OR(E4=1,E4=0),G4=3),D4,"")</f>
      </c>
      <c r="S4" s="111">
        <f>IF(AND(OR(E4=2,E4=0),G4=3),D4,"")</f>
      </c>
      <c r="T4" s="111">
        <f>IF(AND(OR(E4=3,E4=0),G4=3),D4,"")</f>
      </c>
      <c r="U4" s="111">
        <f>IF(AND(OR(E4=1,E4=0),G4=1,F4=1),D4,"")</f>
      </c>
      <c r="V4" s="111">
        <f>IF(AND(OR(E4=1,E4=0),G4=2,F4=1),D4,"")</f>
      </c>
      <c r="W4" s="111">
        <f>IF(AND(OR(E4=1,E4=0),G4=3,F4=1),D4,"")</f>
      </c>
      <c r="X4" s="111">
        <f>IF(AND(OR(E4=2,E4=0),G4=1,F4=1),D4,"")</f>
      </c>
      <c r="Y4" s="111">
        <f>IF(AND(OR(E4=2,E4=0),G4=2,F4=1),D4,"")</f>
      </c>
      <c r="Z4" s="111">
        <f>IF(AND(OR(E4=2,E4=0),G4=3,F4=1),D4,"")</f>
      </c>
      <c r="AA4" s="111">
        <f>IF(AND(OR(E4=3,E4=0),G4=1,F4=1),D4,"")</f>
      </c>
      <c r="AB4" s="111">
        <f>IF(AND(OR(E4=3,E4=0),G4=2,F4=1),D4,"")</f>
      </c>
      <c r="AC4" s="111">
        <f>IF(AND(OR(E4=3,E4=0),G4=3,F4=1),D4,"")</f>
      </c>
      <c r="AD4" s="111">
        <f>IF(AND(OR(E4=1,E4=0),G4=1,F4=0),J4,"")</f>
      </c>
      <c r="AE4" s="111">
        <f>IF(AND(OR(E4=1,E4=0),G4=2,F4=0),J4,"")</f>
      </c>
      <c r="AF4" s="111">
        <f>IF(AND(OR(E4=1,E4=0),G4=3,F4=0),J4,"")</f>
      </c>
      <c r="AG4" s="111">
        <f>IF(AND(OR(E4=1,E4=0),G4=1,F4=1),J4,"")</f>
      </c>
      <c r="AH4" s="111">
        <f>IF(AND(OR(E4=1,E4=0),G4=2,F4=1),J4,"")</f>
      </c>
      <c r="AI4" s="111">
        <f>IF(AND(OR(E4=1,E4=0),G4=3,F4=1),J4,"")</f>
      </c>
      <c r="AJ4" s="111">
        <f>IF(AND(OR(E4=2,E4=0),G4=1,F4=0),J4,"")</f>
      </c>
      <c r="AK4" s="111">
        <f>IF(AND(OR(E4=2,E4=0),G4=2,F4=0),J4,"")</f>
      </c>
      <c r="AL4" s="111">
        <f>IF(AND(OR(E4=2,E4=0),G4=3,F4=0),J4,"")</f>
      </c>
      <c r="AM4" s="111">
        <f>IF(AND(OR(E4=2,E4=0),G4=1,F4=1),J4,"")</f>
      </c>
      <c r="AN4" s="111">
        <f>IF(AND(OR(E4=2,E4=0),G4=2,F4=1),J4,"")</f>
      </c>
      <c r="AO4" s="111">
        <f>IF(AND(OR(E4=2,E4=0),G4=3,F4=1),J4,"")</f>
      </c>
      <c r="AP4" s="111">
        <f>IF(AND(OR(E4=3,E4=0),G4=1,F4=0),J4,"")</f>
      </c>
      <c r="AQ4" s="111">
        <f>IF(AND(OR(E4=3,E4=0),G4=2,F4=0),J4,"")</f>
      </c>
      <c r="AR4" s="111">
        <f>IF(AND(OR(E4=3,E4=0),G4=3,F4=0),J4,"")</f>
      </c>
      <c r="AS4" s="111">
        <f>IF(AND(OR(E4=3,E4=0),G4=1,F4=1),J4,"")</f>
      </c>
      <c r="AT4" s="111">
        <f>IF(AND(OR(E4=3,E4=0),G4=2,F4=1),J4,"")</f>
      </c>
      <c r="AU4" s="111">
        <f>IF(AND(OR(E4=3,E4=0),G4=3,F4=1),J4,"")</f>
      </c>
    </row>
    <row customHeight="true" ht="19" r="5">
      <c r="A5" s="99" t="str">
        <v>似合うんじゃない？（气球）</v>
      </c>
      <c r="B5" s="99" t="str"/>
      <c r="C5" s="99" t="str"/>
      <c r="D5" s="116">
        <f>持有情况!Q58-ROW()*1e-05</f>
      </c>
      <c r="E5" s="116">
        <v>2</v>
      </c>
      <c r="F5" s="117">
        <v>0</v>
      </c>
      <c r="G5" s="116">
        <v>2</v>
      </c>
      <c r="H5" s="116">
        <v>1</v>
      </c>
      <c r="I5" s="111" t="str">
        <v>气球</v>
      </c>
      <c r="J5" s="116">
        <f>INT((8.5/100)*路线!B12+17*路线!B18+15*路线!B31+40)-ROW()*1e-05</f>
      </c>
      <c r="K5" s="1" t="str"/>
      <c r="L5" s="111">
        <f>IF(AND(OR(E5=1,E5=0),G5=1),D5,"")</f>
      </c>
      <c r="M5" s="111">
        <f>IF(AND(OR(E5=2,E5=0),G5=1),D5,"")</f>
      </c>
      <c r="N5" s="111">
        <f>IF(AND(OR(E5=3,E5=0),G5=1),D5,"")</f>
      </c>
      <c r="O5" s="111">
        <f>IF(AND(OR(E5=1,E5=0),G5=2),D5,"")</f>
      </c>
      <c r="P5" s="111">
        <f>IF(AND(OR(E5=2,E5=0),G5=2),D5,"")</f>
      </c>
      <c r="Q5" s="111">
        <f>IF(AND(OR(E5=3,E5=0),G5=2),D5,"")</f>
      </c>
      <c r="R5" s="111">
        <f>IF(AND(OR(E5=1,E5=0),G5=3),D5,"")</f>
      </c>
      <c r="S5" s="111">
        <f>IF(AND(OR(E5=2,E5=0),G5=3),D5,"")</f>
      </c>
      <c r="T5" s="111">
        <f>IF(AND(OR(E5=3,E5=0),G5=3),D5,"")</f>
      </c>
      <c r="U5" s="111">
        <f>IF(AND(OR(E5=1,E5=0),G5=1,F5=1),D5,"")</f>
      </c>
      <c r="V5" s="111">
        <f>IF(AND(OR(E5=1,E5=0),G5=2,F5=1),D5,"")</f>
      </c>
      <c r="W5" s="111">
        <f>IF(AND(OR(E5=1,E5=0),G5=3,F5=1),D5,"")</f>
      </c>
      <c r="X5" s="111">
        <f>IF(AND(OR(E5=2,E5=0),G5=1,F5=1),D5,"")</f>
      </c>
      <c r="Y5" s="111">
        <f>IF(AND(OR(E5=2,E5=0),G5=2,F5=1),D5,"")</f>
      </c>
      <c r="Z5" s="111">
        <f>IF(AND(OR(E5=2,E5=0),G5=3,F5=1),D5,"")</f>
      </c>
      <c r="AA5" s="111">
        <f>IF(AND(OR(E5=3,E5=0),G5=1,F5=1),D5,"")</f>
      </c>
      <c r="AB5" s="111">
        <f>IF(AND(OR(E5=3,E5=0),G5=2,F5=1),D5,"")</f>
      </c>
      <c r="AC5" s="111">
        <f>IF(AND(OR(E5=3,E5=0),G5=3,F5=1),D5,"")</f>
      </c>
      <c r="AD5" s="111">
        <f>IF(AND(OR(E5=1,E5=0),G5=1,F5=0),J5,"")</f>
      </c>
      <c r="AE5" s="111">
        <f>IF(AND(OR(E5=1,E5=0),G5=2,F5=0),J5,"")</f>
      </c>
      <c r="AF5" s="111">
        <f>IF(AND(OR(E5=1,E5=0),G5=3,F5=0),J5,"")</f>
      </c>
      <c r="AG5" s="111">
        <f>IF(AND(OR(E5=1,E5=0),G5=1,F5=1),J5,"")</f>
      </c>
      <c r="AH5" s="111">
        <f>IF(AND(OR(E5=1,E5=0),G5=2,F5=1),J5,"")</f>
      </c>
      <c r="AI5" s="111">
        <f>IF(AND(OR(E5=1,E5=0),G5=3,F5=1),J5,"")</f>
      </c>
      <c r="AJ5" s="111">
        <f>IF(AND(OR(E5=2,E5=0),G5=1,F5=0),J5,"")</f>
      </c>
      <c r="AK5" s="111">
        <f>IF(AND(OR(E5=2,E5=0),G5=2,F5=0),J5,"")</f>
      </c>
      <c r="AL5" s="111">
        <f>IF(AND(OR(E5=2,E5=0),G5=3,F5=0),J5,"")</f>
      </c>
      <c r="AM5" s="111">
        <f>IF(AND(OR(E5=2,E5=0),G5=1,F5=1),J5,"")</f>
      </c>
      <c r="AN5" s="111">
        <f>IF(AND(OR(E5=2,E5=0),G5=2,F5=1),J5,"")</f>
      </c>
      <c r="AO5" s="111">
        <f>IF(AND(OR(E5=2,E5=0),G5=3,F5=1),J5,"")</f>
      </c>
      <c r="AP5" s="111">
        <f>IF(AND(OR(E5=3,E5=0),G5=1,F5=0),J5,"")</f>
      </c>
      <c r="AQ5" s="111">
        <f>IF(AND(OR(E5=3,E5=0),G5=2,F5=0),J5,"")</f>
      </c>
      <c r="AR5" s="111">
        <f>IF(AND(OR(E5=3,E5=0),G5=3,F5=0),J5,"")</f>
      </c>
      <c r="AS5" s="111">
        <f>IF(AND(OR(E5=3,E5=0),G5=1,F5=1),J5,"")</f>
      </c>
      <c r="AT5" s="111">
        <f>IF(AND(OR(E5=3,E5=0),G5=2,F5=1),J5,"")</f>
      </c>
      <c r="AU5" s="111">
        <f>IF(AND(OR(E5=3,E5=0),G5=3,F5=1),J5,"")</f>
      </c>
    </row>
    <row customHeight="true" ht="19" r="6">
      <c r="A6" s="99" t="str">
        <v>利用し合うのが友達！（黄毛摸鱼）</v>
      </c>
      <c r="B6" s="99" t="str"/>
      <c r="C6" s="99" t="str"/>
      <c r="D6" s="116">
        <f>IF(路线!B4="计算",持有情况!S113,持有情况!Q112)-ROW()*1e-05</f>
      </c>
      <c r="E6" s="117">
        <v>0</v>
      </c>
      <c r="F6" s="117">
        <v>0</v>
      </c>
      <c r="G6" s="116">
        <v>2</v>
      </c>
      <c r="H6" s="116">
        <v>1</v>
      </c>
      <c r="I6" s="1" t="str"/>
      <c r="J6" s="116">
        <f>IF(路线!B4="计算",INT(60+22+21*IF(路线!B38&lt;=3,路线!B38,3)+7*路线!B30+40+20),INT(60+22+21*IF(路线!B38&lt;=3,路线!B38,3)+7*路线!B30+40))-ROW()*1e-05</f>
      </c>
      <c r="K6" s="1" t="str"/>
      <c r="L6" s="111">
        <f>IF(AND(OR(E6=1,E6=0),G6=1),D6,"")</f>
      </c>
      <c r="M6" s="111">
        <f>IF(AND(OR(E6=2,E6=0),G6=1),D6,"")</f>
      </c>
      <c r="N6" s="111">
        <f>IF(AND(OR(E6=3,E6=0),G6=1),D6,"")</f>
      </c>
      <c r="O6" s="111">
        <f>IF(AND(OR(E6=1,E6=0),G6=2),D6,"")</f>
      </c>
      <c r="P6" s="111">
        <f>IF(AND(OR(E6=2,E6=0),G6=2),D6,"")</f>
      </c>
      <c r="Q6" s="111">
        <f>IF(AND(OR(E6=3,E6=0),G6=2),D6,"")</f>
      </c>
      <c r="R6" s="111">
        <f>IF(AND(OR(E6=1,E6=0),G6=3),D6,"")</f>
      </c>
      <c r="S6" s="111">
        <f>IF(AND(OR(E6=2,E6=0),G6=3),D6,"")</f>
      </c>
      <c r="T6" s="111">
        <f>IF(AND(OR(E6=3,E6=0),G6=3),D6,"")</f>
      </c>
      <c r="U6" s="111">
        <f>IF(AND(OR(E6=1,E6=0),G6=1,F6=1),D6,"")</f>
      </c>
      <c r="V6" s="111">
        <f>IF(AND(OR(E6=1,E6=0),G6=2,F6=1),D6,"")</f>
      </c>
      <c r="W6" s="111">
        <f>IF(AND(OR(E6=1,E6=0),G6=3,F6=1),D6,"")</f>
      </c>
      <c r="X6" s="111">
        <f>IF(AND(OR(E6=2,E6=0),G6=1,F6=1),D6,"")</f>
      </c>
      <c r="Y6" s="111">
        <f>IF(AND(OR(E6=2,E6=0),G6=2,F6=1),D6,"")</f>
      </c>
      <c r="Z6" s="111">
        <f>IF(AND(OR(E6=2,E6=0),G6=3,F6=1),D6,"")</f>
      </c>
      <c r="AA6" s="111">
        <f>IF(AND(OR(E6=3,E6=0),G6=1,F6=1),D6,"")</f>
      </c>
      <c r="AB6" s="111">
        <f>IF(AND(OR(E6=3,E6=0),G6=2,F6=1),D6,"")</f>
      </c>
      <c r="AC6" s="111">
        <f>IF(AND(OR(E6=3,E6=0),G6=3,F6=1),D6,"")</f>
      </c>
      <c r="AD6" s="111">
        <f>IF(AND(OR(E6=1,E6=0),G6=1,F6=0),J6,"")</f>
      </c>
      <c r="AE6" s="111">
        <f>IF(AND(OR(E6=1,E6=0),G6=2,F6=0),J6,"")</f>
      </c>
      <c r="AF6" s="111">
        <f>IF(AND(OR(E6=1,E6=0),G6=3,F6=0),J6,"")</f>
      </c>
      <c r="AG6" s="111">
        <f>IF(AND(OR(E6=1,E6=0),G6=1,F6=1),J6,"")</f>
      </c>
      <c r="AH6" s="111">
        <f>IF(AND(OR(E6=1,E6=0),G6=2,F6=1),J6,"")</f>
      </c>
      <c r="AI6" s="111">
        <f>IF(AND(OR(E6=1,E6=0),G6=3,F6=1),J6,"")</f>
      </c>
      <c r="AJ6" s="111">
        <f>IF(AND(OR(E6=2,E6=0),G6=1,F6=0),J6,"")</f>
      </c>
      <c r="AK6" s="111">
        <f>IF(AND(OR(E6=2,E6=0),G6=2,F6=0),J6,"")</f>
      </c>
      <c r="AL6" s="111">
        <f>IF(AND(OR(E6=2,E6=0),G6=3,F6=0),J6,"")</f>
      </c>
      <c r="AM6" s="111">
        <f>IF(AND(OR(E6=2,E6=0),G6=1,F6=1),J6,"")</f>
      </c>
      <c r="AN6" s="111">
        <f>IF(AND(OR(E6=2,E6=0),G6=2,F6=1),J6,"")</f>
      </c>
      <c r="AO6" s="111">
        <f>IF(AND(OR(E6=2,E6=0),G6=3,F6=1),J6,"")</f>
      </c>
      <c r="AP6" s="111">
        <f>IF(AND(OR(E6=3,E6=0),G6=1,F6=0),J6,"")</f>
      </c>
      <c r="AQ6" s="111">
        <f>IF(AND(OR(E6=3,E6=0),G6=2,F6=0),J6,"")</f>
      </c>
      <c r="AR6" s="111">
        <f>IF(AND(OR(E6=3,E6=0),G6=3,F6=0),J6,"")</f>
      </c>
      <c r="AS6" s="111">
        <f>IF(AND(OR(E6=3,E6=0),G6=1,F6=1),J6,"")</f>
      </c>
      <c r="AT6" s="111">
        <f>IF(AND(OR(E6=3,E6=0),G6=2,F6=1),J6,"")</f>
      </c>
      <c r="AU6" s="111">
        <f>IF(AND(OR(E6=3,E6=0),G6=3,F6=1),J6,"")</f>
      </c>
    </row>
    <row customHeight="true" ht="19" r="7">
      <c r="A7" s="75" t="str">
        <v>二人ならあっという間だね（红50）</v>
      </c>
      <c r="B7" s="75" t="str"/>
      <c r="C7" s="75" t="str"/>
      <c r="D7" s="116">
        <f>持有情况!G64-ROW()*1e-05</f>
      </c>
      <c r="E7" s="117">
        <v>0</v>
      </c>
      <c r="F7" s="117">
        <v>0</v>
      </c>
      <c r="G7" s="116">
        <v>1</v>
      </c>
      <c r="H7" s="116">
        <v>1</v>
      </c>
      <c r="I7" s="111" t="str">
        <v>红50</v>
      </c>
      <c r="J7" s="116">
        <f>INT((8.5/100)*路线!B12+7*路线!B30+4*(路线!B28+路线!B29)+17*路线!B18+40)-ROW()*1e-05</f>
      </c>
      <c r="K7" s="1" t="str"/>
      <c r="L7" s="111">
        <f>IF(AND(OR(E7=1,E7=0),G7=1),D7,"")</f>
      </c>
      <c r="M7" s="111">
        <f>IF(AND(OR(E7=2,E7=0),G7=1),D7,"")</f>
      </c>
      <c r="N7" s="111">
        <f>IF(AND(OR(E7=3,E7=0),G7=1),D7,"")</f>
      </c>
      <c r="O7" s="111">
        <f>IF(AND(OR(E7=1,E7=0),G7=2),D7,"")</f>
      </c>
      <c r="P7" s="111">
        <f>IF(AND(OR(E7=2,E7=0),G7=2),D7,"")</f>
      </c>
      <c r="Q7" s="111">
        <f>IF(AND(OR(E7=3,E7=0),G7=2),D7,"")</f>
      </c>
      <c r="R7" s="111">
        <f>IF(AND(OR(E7=1,E7=0),G7=3),D7,"")</f>
      </c>
      <c r="S7" s="111">
        <f>IF(AND(OR(E7=2,E7=0),G7=3),D7,"")</f>
      </c>
      <c r="T7" s="111">
        <f>IF(AND(OR(E7=3,E7=0),G7=3),D7,"")</f>
      </c>
      <c r="U7" s="111">
        <f>IF(AND(OR(E7=1,E7=0),G7=1,F7=1),D7,"")</f>
      </c>
      <c r="V7" s="111">
        <f>IF(AND(OR(E7=1,E7=0),G7=2,F7=1),D7,"")</f>
      </c>
      <c r="W7" s="111">
        <f>IF(AND(OR(E7=1,E7=0),G7=3,F7=1),D7,"")</f>
      </c>
      <c r="X7" s="111">
        <f>IF(AND(OR(E7=2,E7=0),G7=1,F7=1),D7,"")</f>
      </c>
      <c r="Y7" s="111">
        <f>IF(AND(OR(E7=2,E7=0),G7=2,F7=1),D7,"")</f>
      </c>
      <c r="Z7" s="111">
        <f>IF(AND(OR(E7=2,E7=0),G7=3,F7=1),D7,"")</f>
      </c>
      <c r="AA7" s="111">
        <f>IF(AND(OR(E7=3,E7=0),G7=1,F7=1),D7,"")</f>
      </c>
      <c r="AB7" s="111">
        <f>IF(AND(OR(E7=3,E7=0),G7=2,F7=1),D7,"")</f>
      </c>
      <c r="AC7" s="111">
        <f>IF(AND(OR(E7=3,E7=0),G7=3,F7=1),D7,"")</f>
      </c>
      <c r="AD7" s="111">
        <f>IF(AND(OR(E7=1,E7=0),G7=1,F7=0),J7,"")</f>
      </c>
      <c r="AE7" s="111">
        <f>IF(AND(OR(E7=1,E7=0),G7=2,F7=0),J7,"")</f>
      </c>
      <c r="AF7" s="111">
        <f>IF(AND(OR(E7=1,E7=0),G7=3,F7=0),J7,"")</f>
      </c>
      <c r="AG7" s="111">
        <f>IF(AND(OR(E7=1,E7=0),G7=1,F7=1),J7,"")</f>
      </c>
      <c r="AH7" s="111">
        <f>IF(AND(OR(E7=1,E7=0),G7=2,F7=1),J7,"")</f>
      </c>
      <c r="AI7" s="111">
        <f>IF(AND(OR(E7=1,E7=0),G7=3,F7=1),J7,"")</f>
      </c>
      <c r="AJ7" s="111">
        <f>IF(AND(OR(E7=2,E7=0),G7=1,F7=0),J7,"")</f>
      </c>
      <c r="AK7" s="111">
        <f>IF(AND(OR(E7=2,E7=0),G7=2,F7=0),J7,"")</f>
      </c>
      <c r="AL7" s="111">
        <f>IF(AND(OR(E7=2,E7=0),G7=3,F7=0),J7,"")</f>
      </c>
      <c r="AM7" s="111">
        <f>IF(AND(OR(E7=2,E7=0),G7=1,F7=1),J7,"")</f>
      </c>
      <c r="AN7" s="111">
        <f>IF(AND(OR(E7=2,E7=0),G7=2,F7=1),J7,"")</f>
      </c>
      <c r="AO7" s="111">
        <f>IF(AND(OR(E7=2,E7=0),G7=3,F7=1),J7,"")</f>
      </c>
      <c r="AP7" s="111">
        <f>IF(AND(OR(E7=3,E7=0),G7=1,F7=0),J7,"")</f>
      </c>
      <c r="AQ7" s="111">
        <f>IF(AND(OR(E7=3,E7=0),G7=2,F7=0),J7,"")</f>
      </c>
      <c r="AR7" s="111">
        <f>IF(AND(OR(E7=3,E7=0),G7=3,F7=0),J7,"")</f>
      </c>
      <c r="AS7" s="111">
        <f>IF(AND(OR(E7=3,E7=0),G7=1,F7=1),J7,"")</f>
      </c>
      <c r="AT7" s="111">
        <f>IF(AND(OR(E7=3,E7=0),G7=2,F7=1),J7,"")</f>
      </c>
      <c r="AU7" s="111">
        <f>IF(AND(OR(E7=3,E7=0),G7=3,F7=1),J7,"")</f>
      </c>
    </row>
    <row customHeight="true" ht="19" r="8">
      <c r="A8" s="86" t="str">
        <v>ぜったい追いついてやる！（红叶）</v>
      </c>
      <c r="B8" s="86" t="str"/>
      <c r="C8" s="86" t="str"/>
      <c r="D8" s="116">
        <f>持有情况!AA76-ROW()*1e-05</f>
      </c>
      <c r="E8" s="117">
        <v>0</v>
      </c>
      <c r="F8" s="117">
        <v>0</v>
      </c>
      <c r="G8" s="116">
        <v>3</v>
      </c>
      <c r="H8" s="116">
        <v>1</v>
      </c>
      <c r="I8" s="111" t="str">
        <v>红叶</v>
      </c>
      <c r="J8" s="116">
        <f>IF(路线!C6="计算",INT((8.5/100)*路线!B12+7*路线!B30+4*(路线!B28+路线!B29)+17*路线!B18+40+20)-ROW()*1e-05,INT((8.5/100)*路线!B12+7*路线!B30+4*(路线!B28+路线!B29)+17*路线!B18+40)-ROW()*1e-05)</f>
      </c>
      <c r="K8" s="1" t="str"/>
      <c r="L8" s="111">
        <f>IF(AND(OR(E8=1,E8=0),G8=1),D8,"")</f>
      </c>
      <c r="M8" s="111">
        <f>IF(AND(OR(E8=2,E8=0),G8=1),D8,"")</f>
      </c>
      <c r="N8" s="111">
        <f>IF(AND(OR(E8=3,E8=0),G8=1),D8,"")</f>
      </c>
      <c r="O8" s="111">
        <f>IF(AND(OR(E8=1,E8=0),G8=2),D8,"")</f>
      </c>
      <c r="P8" s="111">
        <f>IF(AND(OR(E8=2,E8=0),G8=2),D8,"")</f>
      </c>
      <c r="Q8" s="111">
        <f>IF(AND(OR(E8=3,E8=0),G8=2),D8,"")</f>
      </c>
      <c r="R8" s="111">
        <f>IF(AND(OR(E8=1,E8=0),G8=3),D8,"")</f>
      </c>
      <c r="S8" s="111">
        <f>IF(AND(OR(E8=2,E8=0),G8=3),D8,"")</f>
      </c>
      <c r="T8" s="111">
        <f>IF(AND(OR(E8=3,E8=0),G8=3),D8,"")</f>
      </c>
      <c r="U8" s="111">
        <f>IF(AND(OR(E8=1,E8=0),G8=1,F8=1),D8,"")</f>
      </c>
      <c r="V8" s="111">
        <f>IF(AND(OR(E8=1,E8=0),G8=2,F8=1),D8,"")</f>
      </c>
      <c r="W8" s="111">
        <f>IF(AND(OR(E8=1,E8=0),G8=3,F8=1),D8,"")</f>
      </c>
      <c r="X8" s="111">
        <f>IF(AND(OR(E8=2,E8=0),G8=1,F8=1),D8,"")</f>
      </c>
      <c r="Y8" s="111">
        <f>IF(AND(OR(E8=2,E8=0),G8=2,F8=1),D8,"")</f>
      </c>
      <c r="Z8" s="111">
        <f>IF(AND(OR(E8=2,E8=0),G8=3,F8=1),D8,"")</f>
      </c>
      <c r="AA8" s="111">
        <f>IF(AND(OR(E8=3,E8=0),G8=1,F8=1),D8,"")</f>
      </c>
      <c r="AB8" s="111">
        <f>IF(AND(OR(E8=3,E8=0),G8=2,F8=1),D8,"")</f>
      </c>
      <c r="AC8" s="111">
        <f>IF(AND(OR(E8=3,E8=0),G8=3,F8=1),D8,"")</f>
      </c>
      <c r="AD8" s="111">
        <f>IF(AND(OR(E8=1,E8=0),G8=1,F8=0),J8,"")</f>
      </c>
      <c r="AE8" s="111">
        <f>IF(AND(OR(E8=1,E8=0),G8=2,F8=0),J8,"")</f>
      </c>
      <c r="AF8" s="111">
        <f>IF(AND(OR(E8=1,E8=0),G8=3,F8=0),J8,"")</f>
      </c>
      <c r="AG8" s="111">
        <f>IF(AND(OR(E8=1,E8=0),G8=1,F8=1),J8,"")</f>
      </c>
      <c r="AH8" s="111">
        <f>IF(AND(OR(E8=1,E8=0),G8=2,F8=1),J8,"")</f>
      </c>
      <c r="AI8" s="111">
        <f>IF(AND(OR(E8=1,E8=0),G8=3,F8=1),J8,"")</f>
      </c>
      <c r="AJ8" s="111">
        <f>IF(AND(OR(E8=2,E8=0),G8=1,F8=0),J8,"")</f>
      </c>
      <c r="AK8" s="111">
        <f>IF(AND(OR(E8=2,E8=0),G8=2,F8=0),J8,"")</f>
      </c>
      <c r="AL8" s="111">
        <f>IF(AND(OR(E8=2,E8=0),G8=3,F8=0),J8,"")</f>
      </c>
      <c r="AM8" s="111">
        <f>IF(AND(OR(E8=2,E8=0),G8=1,F8=1),J8,"")</f>
      </c>
      <c r="AN8" s="111">
        <f>IF(AND(OR(E8=2,E8=0),G8=2,F8=1),J8,"")</f>
      </c>
      <c r="AO8" s="111">
        <f>IF(AND(OR(E8=2,E8=0),G8=3,F8=1),J8,"")</f>
      </c>
      <c r="AP8" s="111">
        <f>IF(AND(OR(E8=3,E8=0),G8=1,F8=0),J8,"")</f>
      </c>
      <c r="AQ8" s="111">
        <f>IF(AND(OR(E8=3,E8=0),G8=2,F8=0),J8,"")</f>
      </c>
      <c r="AR8" s="111">
        <f>IF(AND(OR(E8=3,E8=0),G8=3,F8=0),J8,"")</f>
      </c>
      <c r="AS8" s="111">
        <f>IF(AND(OR(E8=3,E8=0),G8=1,F8=1),J8,"")</f>
      </c>
      <c r="AT8" s="111">
        <f>IF(AND(OR(E8=3,E8=0),G8=2,F8=1),J8,"")</f>
      </c>
      <c r="AU8" s="111">
        <f>IF(AND(OR(E8=3,E8=0),G8=3,F8=1),J8,"")</f>
      </c>
    </row>
    <row customHeight="true" ht="19" r="9">
      <c r="A9" s="86" t="str">
        <v>相手にとって不足なしよ！（对战）</v>
      </c>
      <c r="B9" s="86" t="str"/>
      <c r="C9" s="86" t="str"/>
      <c r="D9" s="116">
        <f>持有情况!AA106-ROW()*1e-05</f>
      </c>
      <c r="E9" s="116">
        <v>3</v>
      </c>
      <c r="F9" s="116">
        <v>1</v>
      </c>
      <c r="G9" s="116">
        <v>3</v>
      </c>
      <c r="H9" s="116">
        <v>1</v>
      </c>
      <c r="I9" s="111" t="str">
        <v>对战</v>
      </c>
      <c r="J9" s="116">
        <f>IF(路线!C6="计算",INT(60+17*路线!B18+22*IF(路线!B36&lt;=3,路线!B36,3)+40+20)-ROW()*1e-05,INT(60+17*路线!B18+22*IF(路线!B36&lt;=3,路线!B36,3)+40)-ROW()*1e-05)</f>
      </c>
      <c r="K9" s="1" t="str"/>
      <c r="L9" s="111">
        <f>IF(AND(OR(E9=1,E9=0),G9=1),D9,"")</f>
      </c>
      <c r="M9" s="111">
        <f>IF(AND(OR(E9=2,E9=0),G9=1),D9,"")</f>
      </c>
      <c r="N9" s="111">
        <f>IF(AND(OR(E9=3,E9=0),G9=1),D9,"")</f>
      </c>
      <c r="O9" s="111">
        <f>IF(AND(OR(E9=1,E9=0),G9=2),D9,"")</f>
      </c>
      <c r="P9" s="111">
        <f>IF(AND(OR(E9=2,E9=0),G9=2),D9,"")</f>
      </c>
      <c r="Q9" s="111">
        <f>IF(AND(OR(E9=3,E9=0),G9=2),D9,"")</f>
      </c>
      <c r="R9" s="111">
        <f>IF(AND(OR(E9=1,E9=0),G9=3),D9,"")</f>
      </c>
      <c r="S9" s="111">
        <f>IF(AND(OR(E9=2,E9=0),G9=3),D9,"")</f>
      </c>
      <c r="T9" s="111">
        <f>IF(AND(OR(E9=3,E9=0),G9=3),D9,"")</f>
      </c>
      <c r="U9" s="111">
        <f>IF(AND(OR(E9=1,E9=0),G9=1,F9=1),D9,"")</f>
      </c>
      <c r="V9" s="111">
        <f>IF(AND(OR(E9=1,E9=0),G9=2,F9=1),D9,"")</f>
      </c>
      <c r="W9" s="111">
        <f>IF(AND(OR(E9=1,E9=0),G9=3,F9=1),D9,"")</f>
      </c>
      <c r="X9" s="111">
        <f>IF(AND(OR(E9=2,E9=0),G9=1,F9=1),D9,"")</f>
      </c>
      <c r="Y9" s="111">
        <f>IF(AND(OR(E9=2,E9=0),G9=2,F9=1),D9,"")</f>
      </c>
      <c r="Z9" s="111">
        <f>IF(AND(OR(E9=2,E9=0),G9=3,F9=1),D9,"")</f>
      </c>
      <c r="AA9" s="111">
        <f>IF(AND(OR(E9=3,E9=0),G9=1,F9=1),D9,"")</f>
      </c>
      <c r="AB9" s="111">
        <f>IF(AND(OR(E9=3,E9=0),G9=2,F9=1),D9,"")</f>
      </c>
      <c r="AC9" s="111">
        <f>IF(AND(OR(E9=3,E9=0),G9=3,F9=1),D9,"")</f>
      </c>
      <c r="AD9" s="111">
        <f>IF(AND(OR(E9=1,E9=0),G9=1,F9=0),J9,"")</f>
      </c>
      <c r="AE9" s="111">
        <f>IF(AND(OR(E9=1,E9=0),G9=2,F9=0),J9,"")</f>
      </c>
      <c r="AF9" s="111">
        <f>IF(AND(OR(E9=1,E9=0),G9=3,F9=0),J9,"")</f>
      </c>
      <c r="AG9" s="111">
        <f>IF(AND(OR(E9=1,E9=0),G9=1,F9=1),J9,"")</f>
      </c>
      <c r="AH9" s="111">
        <f>IF(AND(OR(E9=1,E9=0),G9=2,F9=1),J9,"")</f>
      </c>
      <c r="AI9" s="111">
        <f>IF(AND(OR(E9=1,E9=0),G9=3,F9=1),J9,"")</f>
      </c>
      <c r="AJ9" s="111">
        <f>IF(AND(OR(E9=2,E9=0),G9=1,F9=0),J9,"")</f>
      </c>
      <c r="AK9" s="111">
        <f>IF(AND(OR(E9=2,E9=0),G9=2,F9=0),J9,"")</f>
      </c>
      <c r="AL9" s="111">
        <f>IF(AND(OR(E9=2,E9=0),G9=3,F9=0),J9,"")</f>
      </c>
      <c r="AM9" s="111">
        <f>IF(AND(OR(E9=2,E9=0),G9=1,F9=1),J9,"")</f>
      </c>
      <c r="AN9" s="111">
        <f>IF(AND(OR(E9=2,E9=0),G9=2,F9=1),J9,"")</f>
      </c>
      <c r="AO9" s="111">
        <f>IF(AND(OR(E9=2,E9=0),G9=3,F9=1),J9,"")</f>
      </c>
      <c r="AP9" s="111">
        <f>IF(AND(OR(E9=3,E9=0),G9=1,F9=0),J9,"")</f>
      </c>
      <c r="AQ9" s="111">
        <f>IF(AND(OR(E9=3,E9=0),G9=2,F9=0),J9,"")</f>
      </c>
      <c r="AR9" s="111">
        <f>IF(AND(OR(E9=3,E9=0),G9=3,F9=0),J9,"")</f>
      </c>
      <c r="AS9" s="111">
        <f>IF(AND(OR(E9=3,E9=0),G9=1,F9=1),J9,"")</f>
      </c>
      <c r="AT9" s="111">
        <f>IF(AND(OR(E9=3,E9=0),G9=2,F9=1),J9,"")</f>
      </c>
      <c r="AU9" s="111">
        <f>IF(AND(OR(E9=3,E9=0),G9=3,F9=1),J9,"")</f>
      </c>
    </row>
    <row customHeight="true" ht="19" r="10">
      <c r="A10" s="91" t="str">
        <v>もう一度、最初から！（fes1）</v>
      </c>
      <c r="B10" s="75" t="str"/>
      <c r="C10" s="75" t="str"/>
      <c r="D10" s="116">
        <f>持有情况!G76-ROW()*1e-05</f>
      </c>
      <c r="E10" s="116">
        <v>1</v>
      </c>
      <c r="F10" s="116">
        <v>1</v>
      </c>
      <c r="G10" s="116">
        <v>1</v>
      </c>
      <c r="H10" s="116">
        <v>1</v>
      </c>
      <c r="I10" s="111" t="str">
        <v>fes1</v>
      </c>
      <c r="J10" s="116">
        <f>IF(路线!C6="计算",INT((8.5/100)*路线!B12+17*路线!B18+7*路线!B30+40+20)-ROW()*1e-05,INT((8.5/100)*路线!B12+17*路线!B18+7*路线!B30+40)-ROW()*1e-05)</f>
      </c>
      <c r="K10" s="1" t="str"/>
      <c r="L10" s="111">
        <f>IF(AND(OR(E10=1,E10=0),G10=1),D10,"")</f>
      </c>
      <c r="M10" s="111">
        <f>IF(AND(OR(E10=2,E10=0),G10=1),D10,"")</f>
      </c>
      <c r="N10" s="111">
        <f>IF(AND(OR(E10=3,E10=0),G10=1),D10,"")</f>
      </c>
      <c r="O10" s="111">
        <f>IF(AND(OR(E10=1,E10=0),G10=2),D10,"")</f>
      </c>
      <c r="P10" s="111">
        <f>IF(AND(OR(E10=2,E10=0),G10=2),D10,"")</f>
      </c>
      <c r="Q10" s="111">
        <f>IF(AND(OR(E10=3,E10=0),G10=2),D10,"")</f>
      </c>
      <c r="R10" s="111">
        <f>IF(AND(OR(E10=1,E10=0),G10=3),D10,"")</f>
      </c>
      <c r="S10" s="111">
        <f>IF(AND(OR(E10=2,E10=0),G10=3),D10,"")</f>
      </c>
      <c r="T10" s="111">
        <f>IF(AND(OR(E10=3,E10=0),G10=3),D10,"")</f>
      </c>
      <c r="U10" s="111">
        <f>IF(AND(OR(E10=1,E10=0),G10=1,F10=1),D10,"")</f>
      </c>
      <c r="V10" s="111">
        <f>IF(AND(OR(E10=1,E10=0),G10=2,F10=1),D10,"")</f>
      </c>
      <c r="W10" s="111">
        <f>IF(AND(OR(E10=1,E10=0),G10=3,F10=1),D10,"")</f>
      </c>
      <c r="X10" s="111">
        <f>IF(AND(OR(E10=2,E10=0),G10=1,F10=1),D10,"")</f>
      </c>
      <c r="Y10" s="111">
        <f>IF(AND(OR(E10=2,E10=0),G10=2,F10=1),D10,"")</f>
      </c>
      <c r="Z10" s="111">
        <f>IF(AND(OR(E10=2,E10=0),G10=3,F10=1),D10,"")</f>
      </c>
      <c r="AA10" s="111">
        <f>IF(AND(OR(E10=3,E10=0),G10=1,F10=1),D10,"")</f>
      </c>
      <c r="AB10" s="111">
        <f>IF(AND(OR(E10=3,E10=0),G10=2,F10=1),D10,"")</f>
      </c>
      <c r="AC10" s="111">
        <f>IF(AND(OR(E10=3,E10=0),G10=3,F10=1),D10,"")</f>
      </c>
      <c r="AD10" s="111">
        <f>IF(AND(OR(E10=1,E10=0),G10=1,F10=0),J10,"")</f>
      </c>
      <c r="AE10" s="111">
        <f>IF(AND(OR(E10=1,E10=0),G10=2,F10=0),J10,"")</f>
      </c>
      <c r="AF10" s="111">
        <f>IF(AND(OR(E10=1,E10=0),G10=3,F10=0),J10,"")</f>
      </c>
      <c r="AG10" s="111">
        <f>IF(AND(OR(E10=1,E10=0),G10=1,F10=1),J10,"")</f>
      </c>
      <c r="AH10" s="111">
        <f>IF(AND(OR(E10=1,E10=0),G10=2,F10=1),J10,"")</f>
      </c>
      <c r="AI10" s="111">
        <f>IF(AND(OR(E10=1,E10=0),G10=3,F10=1),J10,"")</f>
      </c>
      <c r="AJ10" s="111">
        <f>IF(AND(OR(E10=2,E10=0),G10=1,F10=0),J10,"")</f>
      </c>
      <c r="AK10" s="111">
        <f>IF(AND(OR(E10=2,E10=0),G10=2,F10=0),J10,"")</f>
      </c>
      <c r="AL10" s="111">
        <f>IF(AND(OR(E10=2,E10=0),G10=3,F10=0),J10,"")</f>
      </c>
      <c r="AM10" s="111">
        <f>IF(AND(OR(E10=2,E10=0),G10=1,F10=1),J10,"")</f>
      </c>
      <c r="AN10" s="111">
        <f>IF(AND(OR(E10=2,E10=0),G10=2,F10=1),J10,"")</f>
      </c>
      <c r="AO10" s="111">
        <f>IF(AND(OR(E10=2,E10=0),G10=3,F10=1),J10,"")</f>
      </c>
      <c r="AP10" s="111">
        <f>IF(AND(OR(E10=3,E10=0),G10=1,F10=0),J10,"")</f>
      </c>
      <c r="AQ10" s="111">
        <f>IF(AND(OR(E10=3,E10=0),G10=2,F10=0),J10,"")</f>
      </c>
      <c r="AR10" s="111">
        <f>IF(AND(OR(E10=3,E10=0),G10=3,F10=0),J10,"")</f>
      </c>
      <c r="AS10" s="111">
        <f>IF(AND(OR(E10=3,E10=0),G10=1,F10=1),J10,"")</f>
      </c>
      <c r="AT10" s="111">
        <f>IF(AND(OR(E10=3,E10=0),G10=2,F10=1),J10,"")</f>
      </c>
      <c r="AU10" s="111">
        <f>IF(AND(OR(E10=3,E10=0),G10=3,F10=1),J10,"")</f>
      </c>
    </row>
    <row customHeight="true" ht="19" r="11">
      <c r="A11" s="99" t="str">
        <v>これが私達の、3年間（蓝书签）</v>
      </c>
      <c r="B11" s="99" t="str"/>
      <c r="C11" s="99" t="str"/>
      <c r="D11" s="116">
        <f>持有情况!Q88-ROW()*1e-05</f>
      </c>
      <c r="E11" s="117">
        <v>0</v>
      </c>
      <c r="F11" s="117">
        <v>0</v>
      </c>
      <c r="G11" s="116">
        <v>2</v>
      </c>
      <c r="H11" s="117">
        <v>0</v>
      </c>
      <c r="I11" s="1" t="str"/>
      <c r="J11" s="116">
        <f>INT((8.5/100)*路线!B12+17*路线!B18+7*路线!B30+40)-ROW()*1e-05</f>
      </c>
      <c r="K11" s="1" t="str"/>
      <c r="L11" s="111">
        <f>IF(AND(OR(E11=1,E11=0),G11=1),D11,"")</f>
      </c>
      <c r="M11" s="111">
        <f>IF(AND(OR(E11=2,E11=0),G11=1),D11,"")</f>
      </c>
      <c r="N11" s="111">
        <f>IF(AND(OR(E11=3,E11=0),G11=1),D11,"")</f>
      </c>
      <c r="O11" s="111">
        <f>IF(AND(OR(E11=1,E11=0),G11=2),D11,"")</f>
      </c>
      <c r="P11" s="111">
        <f>IF(AND(OR(E11=2,E11=0),G11=2),D11,"")</f>
      </c>
      <c r="Q11" s="111">
        <f>IF(AND(OR(E11=3,E11=0),G11=2),D11,"")</f>
      </c>
      <c r="R11" s="111">
        <f>IF(AND(OR(E11=1,E11=0),G11=3),D11,"")</f>
      </c>
      <c r="S11" s="111">
        <f>IF(AND(OR(E11=2,E11=0),G11=3),D11,"")</f>
      </c>
      <c r="T11" s="111">
        <f>IF(AND(OR(E11=3,E11=0),G11=3),D11,"")</f>
      </c>
      <c r="U11" s="111">
        <f>IF(AND(OR(E11=1,E11=0),G11=1,F11=1),D11,"")</f>
      </c>
      <c r="V11" s="111">
        <f>IF(AND(OR(E11=1,E11=0),G11=2,F11=1),D11,"")</f>
      </c>
      <c r="W11" s="111">
        <f>IF(AND(OR(E11=1,E11=0),G11=3,F11=1),D11,"")</f>
      </c>
      <c r="X11" s="111">
        <f>IF(AND(OR(E11=2,E11=0),G11=1,F11=1),D11,"")</f>
      </c>
      <c r="Y11" s="111">
        <f>IF(AND(OR(E11=2,E11=0),G11=2,F11=1),D11,"")</f>
      </c>
      <c r="Z11" s="111">
        <f>IF(AND(OR(E11=2,E11=0),G11=3,F11=1),D11,"")</f>
      </c>
      <c r="AA11" s="111">
        <f>IF(AND(OR(E11=3,E11=0),G11=1,F11=1),D11,"")</f>
      </c>
      <c r="AB11" s="111">
        <f>IF(AND(OR(E11=3,E11=0),G11=2,F11=1),D11,"")</f>
      </c>
      <c r="AC11" s="111">
        <f>IF(AND(OR(E11=3,E11=0),G11=3,F11=1),D11,"")</f>
      </c>
      <c r="AD11" s="111">
        <f>IF(AND(OR(E11=1,E11=0),G11=1,F11=0),J11,"")</f>
      </c>
      <c r="AE11" s="111">
        <f>IF(AND(OR(E11=1,E11=0),G11=2,F11=0),J11,"")</f>
      </c>
      <c r="AF11" s="111">
        <f>IF(AND(OR(E11=1,E11=0),G11=3,F11=0),J11,"")</f>
      </c>
      <c r="AG11" s="111">
        <f>IF(AND(OR(E11=1,E11=0),G11=1,F11=1),J11,"")</f>
      </c>
      <c r="AH11" s="111">
        <f>IF(AND(OR(E11=1,E11=0),G11=2,F11=1),J11,"")</f>
      </c>
      <c r="AI11" s="111">
        <f>IF(AND(OR(E11=1,E11=0),G11=3,F11=1),J11,"")</f>
      </c>
      <c r="AJ11" s="111">
        <f>IF(AND(OR(E11=2,E11=0),G11=1,F11=0),J11,"")</f>
      </c>
      <c r="AK11" s="111">
        <f>IF(AND(OR(E11=2,E11=0),G11=2,F11=0),J11,"")</f>
      </c>
      <c r="AL11" s="111">
        <f>IF(AND(OR(E11=2,E11=0),G11=3,F11=0),J11,"")</f>
      </c>
      <c r="AM11" s="111">
        <f>IF(AND(OR(E11=2,E11=0),G11=1,F11=1),J11,"")</f>
      </c>
      <c r="AN11" s="111">
        <f>IF(AND(OR(E11=2,E11=0),G11=2,F11=1),J11,"")</f>
      </c>
      <c r="AO11" s="111">
        <f>IF(AND(OR(E11=2,E11=0),G11=3,F11=1),J11,"")</f>
      </c>
      <c r="AP11" s="111">
        <f>IF(AND(OR(E11=3,E11=0),G11=1,F11=0),J11,"")</f>
      </c>
      <c r="AQ11" s="111">
        <f>IF(AND(OR(E11=3,E11=0),G11=2,F11=0),J11,"")</f>
      </c>
      <c r="AR11" s="111">
        <f>IF(AND(OR(E11=3,E11=0),G11=3,F11=0),J11,"")</f>
      </c>
      <c r="AS11" s="111">
        <f>IF(AND(OR(E11=3,E11=0),G11=1,F11=1),J11,"")</f>
      </c>
      <c r="AT11" s="111">
        <f>IF(AND(OR(E11=3,E11=0),G11=2,F11=1),J11,"")</f>
      </c>
      <c r="AU11" s="111">
        <f>IF(AND(OR(E11=3,E11=0),G11=3,F11=1),J11,"")</f>
      </c>
    </row>
    <row customHeight="true" ht="19" r="12">
      <c r="A12" s="86" t="str">
        <v>会長、準備は万端です（准备万端）</v>
      </c>
      <c r="B12" s="86" t="str"/>
      <c r="C12" s="86" t="str"/>
      <c r="D12" s="116">
        <f>持有情况!AA70-ROW()*1e-05</f>
      </c>
      <c r="E12" s="116">
        <v>2</v>
      </c>
      <c r="F12" s="117">
        <v>0</v>
      </c>
      <c r="G12" s="116">
        <v>3</v>
      </c>
      <c r="H12" s="117">
        <v>0</v>
      </c>
      <c r="I12" s="1" t="str"/>
      <c r="J12" s="116">
        <f>INT((8.5/100)*路线!B12+9*路线!B29+15*路线!B31+40)-ROW()*1e-05</f>
      </c>
      <c r="K12" s="1" t="str"/>
      <c r="L12" s="111">
        <f>IF(AND(OR(E12=1,E12=0),G12=1),D12,"")</f>
      </c>
      <c r="M12" s="111">
        <f>IF(AND(OR(E12=2,E12=0),G12=1),D12,"")</f>
      </c>
      <c r="N12" s="111">
        <f>IF(AND(OR(E12=3,E12=0),G12=1),D12,"")</f>
      </c>
      <c r="O12" s="111">
        <f>IF(AND(OR(E12=1,E12=0),G12=2),D12,"")</f>
      </c>
      <c r="P12" s="111">
        <f>IF(AND(OR(E12=2,E12=0),G12=2),D12,"")</f>
      </c>
      <c r="Q12" s="111">
        <f>IF(AND(OR(E12=3,E12=0),G12=2),D12,"")</f>
      </c>
      <c r="R12" s="111">
        <f>IF(AND(OR(E12=1,E12=0),G12=3),D12,"")</f>
      </c>
      <c r="S12" s="111">
        <f>IF(AND(OR(E12=2,E12=0),G12=3),D12,"")</f>
      </c>
      <c r="T12" s="111">
        <f>IF(AND(OR(E12=3,E12=0),G12=3),D12,"")</f>
      </c>
      <c r="U12" s="111">
        <f>IF(AND(OR(E12=1,E12=0),G12=1,F12=1),D12,"")</f>
      </c>
      <c r="V12" s="111">
        <f>IF(AND(OR(E12=1,E12=0),G12=2,F12=1),D12,"")</f>
      </c>
      <c r="W12" s="111">
        <f>IF(AND(OR(E12=1,E12=0),G12=3,F12=1),D12,"")</f>
      </c>
      <c r="X12" s="111">
        <f>IF(AND(OR(E12=2,E12=0),G12=1,F12=1),D12,"")</f>
      </c>
      <c r="Y12" s="111">
        <f>IF(AND(OR(E12=2,E12=0),G12=2,F12=1),D12,"")</f>
      </c>
      <c r="Z12" s="111">
        <f>IF(AND(OR(E12=2,E12=0),G12=3,F12=1),D12,"")</f>
      </c>
      <c r="AA12" s="111">
        <f>IF(AND(OR(E12=3,E12=0),G12=1,F12=1),D12,"")</f>
      </c>
      <c r="AB12" s="111">
        <f>IF(AND(OR(E12=3,E12=0),G12=2,F12=1),D12,"")</f>
      </c>
      <c r="AC12" s="111">
        <f>IF(AND(OR(E12=3,E12=0),G12=3,F12=1),D12,"")</f>
      </c>
      <c r="AD12" s="111">
        <f>IF(AND(OR(E12=1,E12=0),G12=1,F12=0),J12,"")</f>
      </c>
      <c r="AE12" s="111">
        <f>IF(AND(OR(E12=1,E12=0),G12=2,F12=0),J12,"")</f>
      </c>
      <c r="AF12" s="111">
        <f>IF(AND(OR(E12=1,E12=0),G12=3,F12=0),J12,"")</f>
      </c>
      <c r="AG12" s="111">
        <f>IF(AND(OR(E12=1,E12=0),G12=1,F12=1),J12,"")</f>
      </c>
      <c r="AH12" s="111">
        <f>IF(AND(OR(E12=1,E12=0),G12=2,F12=1),J12,"")</f>
      </c>
      <c r="AI12" s="111">
        <f>IF(AND(OR(E12=1,E12=0),G12=3,F12=1),J12,"")</f>
      </c>
      <c r="AJ12" s="111">
        <f>IF(AND(OR(E12=2,E12=0),G12=1,F12=0),J12,"")</f>
      </c>
      <c r="AK12" s="111">
        <f>IF(AND(OR(E12=2,E12=0),G12=2,F12=0),J12,"")</f>
      </c>
      <c r="AL12" s="111">
        <f>IF(AND(OR(E12=2,E12=0),G12=3,F12=0),J12,"")</f>
      </c>
      <c r="AM12" s="111">
        <f>IF(AND(OR(E12=2,E12=0),G12=1,F12=1),J12,"")</f>
      </c>
      <c r="AN12" s="111">
        <f>IF(AND(OR(E12=2,E12=0),G12=2,F12=1),J12,"")</f>
      </c>
      <c r="AO12" s="111">
        <f>IF(AND(OR(E12=2,E12=0),G12=3,F12=1),J12,"")</f>
      </c>
      <c r="AP12" s="111">
        <f>IF(AND(OR(E12=3,E12=0),G12=1,F12=0),J12,"")</f>
      </c>
      <c r="AQ12" s="111">
        <f>IF(AND(OR(E12=3,E12=0),G12=2,F12=0),J12,"")</f>
      </c>
      <c r="AR12" s="111">
        <f>IF(AND(OR(E12=3,E12=0),G12=3,F12=0),J12,"")</f>
      </c>
      <c r="AS12" s="111">
        <f>IF(AND(OR(E12=3,E12=0),G12=1,F12=1),J12,"")</f>
      </c>
      <c r="AT12" s="111">
        <f>IF(AND(OR(E12=3,E12=0),G12=2,F12=1),J12,"")</f>
      </c>
      <c r="AU12" s="111">
        <f>IF(AND(OR(E12=3,E12=0),G12=3,F12=1),J12,"")</f>
      </c>
    </row>
    <row customHeight="true" ht="19" r="13">
      <c r="A13" s="86" t="str">
        <v>バレンタイン♡会議中ーっ！（情人节会议）</v>
      </c>
      <c r="B13" s="86" t="str"/>
      <c r="C13" s="86" t="str"/>
      <c r="D13" s="116">
        <f>持有情况!AA94-ROW()*1e-05</f>
      </c>
      <c r="E13" s="116">
        <v>3</v>
      </c>
      <c r="F13" s="117">
        <v>0</v>
      </c>
      <c r="G13" s="116">
        <v>3</v>
      </c>
      <c r="H13" s="116">
        <v>1</v>
      </c>
      <c r="I13" s="111" t="str">
        <v>情人节会议</v>
      </c>
      <c r="J13" s="116">
        <f>IF(路线!C6="计算",INT((8.5/100)*路线!B12+11*路线!B35+9*路线!B28+17*路线!B18+40+20)-ROW()*1e-05,INT((8.5/100)*路线!B12+11*路线!B35+9*路线!B28+17*路线!B18+40)-ROW()*1e-05)</f>
      </c>
      <c r="K13" s="1" t="str"/>
      <c r="L13" s="111">
        <f>IF(AND(OR(E13=1,E13=0),G13=1),D13,"")</f>
      </c>
      <c r="M13" s="111">
        <f>IF(AND(OR(E13=2,E13=0),G13=1),D13,"")</f>
      </c>
      <c r="N13" s="111">
        <f>IF(AND(OR(E13=3,E13=0),G13=1),D13,"")</f>
      </c>
      <c r="O13" s="111">
        <f>IF(AND(OR(E13=1,E13=0),G13=2),D13,"")</f>
      </c>
      <c r="P13" s="111">
        <f>IF(AND(OR(E13=2,E13=0),G13=2),D13,"")</f>
      </c>
      <c r="Q13" s="111">
        <f>IF(AND(OR(E13=3,E13=0),G13=2),D13,"")</f>
      </c>
      <c r="R13" s="111">
        <f>IF(AND(OR(E13=1,E13=0),G13=3),D13,"")</f>
      </c>
      <c r="S13" s="111">
        <f>IF(AND(OR(E13=2,E13=0),G13=3),D13,"")</f>
      </c>
      <c r="T13" s="111">
        <f>IF(AND(OR(E13=3,E13=0),G13=3),D13,"")</f>
      </c>
      <c r="U13" s="111">
        <f>IF(AND(OR(E13=1,E13=0),G13=1,F13=1),D13,"")</f>
      </c>
      <c r="V13" s="111">
        <f>IF(AND(OR(E13=1,E13=0),G13=2,F13=1),D13,"")</f>
      </c>
      <c r="W13" s="111">
        <f>IF(AND(OR(E13=1,E13=0),G13=3,F13=1),D13,"")</f>
      </c>
      <c r="X13" s="111">
        <f>IF(AND(OR(E13=2,E13=0),G13=1,F13=1),D13,"")</f>
      </c>
      <c r="Y13" s="111">
        <f>IF(AND(OR(E13=2,E13=0),G13=2,F13=1),D13,"")</f>
      </c>
      <c r="Z13" s="111">
        <f>IF(AND(OR(E13=2,E13=0),G13=3,F13=1),D13,"")</f>
      </c>
      <c r="AA13" s="111">
        <f>IF(AND(OR(E13=3,E13=0),G13=1,F13=1),D13,"")</f>
      </c>
      <c r="AB13" s="111">
        <f>IF(AND(OR(E13=3,E13=0),G13=2,F13=1),D13,"")</f>
      </c>
      <c r="AC13" s="111">
        <f>IF(AND(OR(E13=3,E13=0),G13=3,F13=1),D13,"")</f>
      </c>
      <c r="AD13" s="111">
        <f>IF(AND(OR(E13=1,E13=0),G13=1,F13=0),J13,"")</f>
      </c>
      <c r="AE13" s="111">
        <f>IF(AND(OR(E13=1,E13=0),G13=2,F13=0),J13,"")</f>
      </c>
      <c r="AF13" s="111">
        <f>IF(AND(OR(E13=1,E13=0),G13=3,F13=0),J13,"")</f>
      </c>
      <c r="AG13" s="111">
        <f>IF(AND(OR(E13=1,E13=0),G13=1,F13=1),J13,"")</f>
      </c>
      <c r="AH13" s="111">
        <f>IF(AND(OR(E13=1,E13=0),G13=2,F13=1),J13,"")</f>
      </c>
      <c r="AI13" s="111">
        <f>IF(AND(OR(E13=1,E13=0),G13=3,F13=1),J13,"")</f>
      </c>
      <c r="AJ13" s="111">
        <f>IF(AND(OR(E13=2,E13=0),G13=1,F13=0),J13,"")</f>
      </c>
      <c r="AK13" s="111">
        <f>IF(AND(OR(E13=2,E13=0),G13=2,F13=0),J13,"")</f>
      </c>
      <c r="AL13" s="111">
        <f>IF(AND(OR(E13=2,E13=0),G13=3,F13=0),J13,"")</f>
      </c>
      <c r="AM13" s="111">
        <f>IF(AND(OR(E13=2,E13=0),G13=1,F13=1),J13,"")</f>
      </c>
      <c r="AN13" s="111">
        <f>IF(AND(OR(E13=2,E13=0),G13=2,F13=1),J13,"")</f>
      </c>
      <c r="AO13" s="111">
        <f>IF(AND(OR(E13=2,E13=0),G13=3,F13=1),J13,"")</f>
      </c>
      <c r="AP13" s="111">
        <f>IF(AND(OR(E13=3,E13=0),G13=1,F13=0),J13,"")</f>
      </c>
      <c r="AQ13" s="111">
        <f>IF(AND(OR(E13=3,E13=0),G13=2,F13=0),J13,"")</f>
      </c>
      <c r="AR13" s="111">
        <f>IF(AND(OR(E13=3,E13=0),G13=3,F13=0),J13,"")</f>
      </c>
      <c r="AS13" s="111">
        <f>IF(AND(OR(E13=3,E13=0),G13=1,F13=1),J13,"")</f>
      </c>
      <c r="AT13" s="111">
        <f>IF(AND(OR(E13=3,E13=0),G13=2,F13=1),J13,"")</f>
      </c>
      <c r="AU13" s="111">
        <f>IF(AND(OR(E13=3,E13=0),G13=3,F13=1),J13,"")</f>
      </c>
    </row>
    <row customHeight="true" ht="19" r="14">
      <c r="A14" s="75" t="str">
        <v>2名様、ご案内～♪（毛球偷吃）</v>
      </c>
      <c r="B14" s="75" t="str"/>
      <c r="C14" s="75" t="str"/>
      <c r="D14" s="116">
        <f>IF(路线!B4="计算",持有情况!AM83,持有情况!AK82)-ROW()*1e-05</f>
      </c>
      <c r="E14" s="117">
        <v>0</v>
      </c>
      <c r="F14" s="117">
        <v>0</v>
      </c>
      <c r="G14" s="116">
        <v>1</v>
      </c>
      <c r="H14" s="117">
        <v>0</v>
      </c>
      <c r="I14" s="1" t="str"/>
      <c r="J14" s="116">
        <f>IF(路线!B4="计算",INT(45+10*路线!B31+5*路线!B30+3*(路线!B28+路线!B29)+30+持有情况!AM81),INT(45+10*路线!B31+5*路线!B30+3*(路线!B28+路线!B29)+30))-ROW()*1e-05</f>
      </c>
      <c r="K14" s="1" t="str"/>
      <c r="L14" s="111">
        <f>IF(AND(OR(E14=1,E14=0),G14=1),D14,"")</f>
      </c>
      <c r="M14" s="111">
        <f>IF(AND(OR(E14=2,E14=0),G14=1),D14,"")</f>
      </c>
      <c r="N14" s="111">
        <f>IF(AND(OR(E14=3,E14=0),G14=1),D14,"")</f>
      </c>
      <c r="O14" s="111">
        <f>IF(AND(OR(E14=1,E14=0),G14=2),D14,"")</f>
      </c>
      <c r="P14" s="111">
        <f>IF(AND(OR(E14=2,E14=0),G14=2),D14,"")</f>
      </c>
      <c r="Q14" s="111">
        <f>IF(AND(OR(E14=3,E14=0),G14=2),D14,"")</f>
      </c>
      <c r="R14" s="111">
        <f>IF(AND(OR(E14=1,E14=0),G14=3),D14,"")</f>
      </c>
      <c r="S14" s="111">
        <f>IF(AND(OR(E14=2,E14=0),G14=3),D14,"")</f>
      </c>
      <c r="T14" s="111">
        <f>IF(AND(OR(E14=3,E14=0),G14=3),D14,"")</f>
      </c>
      <c r="U14" s="111">
        <f>IF(AND(OR(E14=1,E14=0),G14=1,F14=1),D14,"")</f>
      </c>
      <c r="V14" s="111">
        <f>IF(AND(OR(E14=1,E14=0),G14=2,F14=1),D14,"")</f>
      </c>
      <c r="W14" s="111">
        <f>IF(AND(OR(E14=1,E14=0),G14=3,F14=1),D14,"")</f>
      </c>
      <c r="X14" s="111">
        <f>IF(AND(OR(E14=2,E14=0),G14=1,F14=1),D14,"")</f>
      </c>
      <c r="Y14" s="111">
        <f>IF(AND(OR(E14=2,E14=0),G14=2,F14=1),D14,"")</f>
      </c>
      <c r="Z14" s="111">
        <f>IF(AND(OR(E14=2,E14=0),G14=3,F14=1),D14,"")</f>
      </c>
      <c r="AA14" s="111">
        <f>IF(AND(OR(E14=3,E14=0),G14=1,F14=1),D14,"")</f>
      </c>
      <c r="AB14" s="111">
        <f>IF(AND(OR(E14=3,E14=0),G14=2,F14=1),D14,"")</f>
      </c>
      <c r="AC14" s="111">
        <f>IF(AND(OR(E14=3,E14=0),G14=3,F14=1),D14,"")</f>
      </c>
      <c r="AD14" s="111">
        <f>IF(AND(OR(E14=1,E14=0),G14=1,F14=0),J14,"")</f>
      </c>
      <c r="AE14" s="111">
        <f>IF(AND(OR(E14=1,E14=0),G14=2,F14=0),J14,"")</f>
      </c>
      <c r="AF14" s="111">
        <f>IF(AND(OR(E14=1,E14=0),G14=3,F14=0),J14,"")</f>
      </c>
      <c r="AG14" s="111">
        <f>IF(AND(OR(E14=1,E14=0),G14=1,F14=1),J14,"")</f>
      </c>
      <c r="AH14" s="111">
        <f>IF(AND(OR(E14=1,E14=0),G14=2,F14=1),J14,"")</f>
      </c>
      <c r="AI14" s="111">
        <f>IF(AND(OR(E14=1,E14=0),G14=3,F14=1),J14,"")</f>
      </c>
      <c r="AJ14" s="111">
        <f>IF(AND(OR(E14=2,E14=0),G14=1,F14=0),J14,"")</f>
      </c>
      <c r="AK14" s="111">
        <f>IF(AND(OR(E14=2,E14=0),G14=2,F14=0),J14,"")</f>
      </c>
      <c r="AL14" s="111">
        <f>IF(AND(OR(E14=2,E14=0),G14=3,F14=0),J14,"")</f>
      </c>
      <c r="AM14" s="111">
        <f>IF(AND(OR(E14=2,E14=0),G14=1,F14=1),J14,"")</f>
      </c>
      <c r="AN14" s="111">
        <f>IF(AND(OR(E14=2,E14=0),G14=2,F14=1),J14,"")</f>
      </c>
      <c r="AO14" s="111">
        <f>IF(AND(OR(E14=2,E14=0),G14=3,F14=1),J14,"")</f>
      </c>
      <c r="AP14" s="111">
        <f>IF(AND(OR(E14=3,E14=0),G14=1,F14=0),J14,"")</f>
      </c>
      <c r="AQ14" s="111">
        <f>IF(AND(OR(E14=3,E14=0),G14=2,F14=0),J14,"")</f>
      </c>
      <c r="AR14" s="111">
        <f>IF(AND(OR(E14=3,E14=0),G14=3,F14=0),J14,"")</f>
      </c>
      <c r="AS14" s="111">
        <f>IF(AND(OR(E14=3,E14=0),G14=1,F14=1),J14,"")</f>
      </c>
      <c r="AT14" s="111">
        <f>IF(AND(OR(E14=3,E14=0),G14=2,F14=1),J14,"")</f>
      </c>
      <c r="AU14" s="111">
        <f>IF(AND(OR(E14=3,E14=0),G14=3,F14=1),J14,"")</f>
      </c>
    </row>
    <row customHeight="true" ht="19" r="15">
      <c r="A15" s="75" t="str">
        <v>まだ上がりませんように！（撑伞）</v>
      </c>
      <c r="B15" s="75" t="str"/>
      <c r="C15" s="75" t="str"/>
      <c r="D15" s="116">
        <f>持有情况!G40-ROW()*1e-05</f>
      </c>
      <c r="E15" s="117">
        <v>0</v>
      </c>
      <c r="F15" s="117">
        <v>0</v>
      </c>
      <c r="G15" s="116">
        <v>1</v>
      </c>
      <c r="H15" s="116">
        <v>1</v>
      </c>
      <c r="I15" s="111" t="str">
        <v>撑伞</v>
      </c>
      <c r="J15" s="116">
        <f>IF(路线!C6="计算",INT((8.5/100)*路线!B12+17*路线!B18+9*路线!B29+40+20)-ROW()*1e-05,INT((8.5/100)*路线!B12+17*路线!B18+9*路线!B29+40)-ROW()*1e-05)</f>
      </c>
      <c r="K15" s="1" t="str"/>
      <c r="L15" s="111">
        <f>IF(AND(OR(E15=1,E15=0),G15=1),D15,"")</f>
      </c>
      <c r="M15" s="111">
        <f>IF(AND(OR(E15=2,E15=0),G15=1),D15,"")</f>
      </c>
      <c r="N15" s="111">
        <f>IF(AND(OR(E15=3,E15=0),G15=1),D15,"")</f>
      </c>
      <c r="O15" s="111">
        <f>IF(AND(OR(E15=1,E15=0),G15=2),D15,"")</f>
      </c>
      <c r="P15" s="111">
        <f>IF(AND(OR(E15=2,E15=0),G15=2),D15,"")</f>
      </c>
      <c r="Q15" s="111">
        <f>IF(AND(OR(E15=3,E15=0),G15=2),D15,"")</f>
      </c>
      <c r="R15" s="111">
        <f>IF(AND(OR(E15=1,E15=0),G15=3),D15,"")</f>
      </c>
      <c r="S15" s="111">
        <f>IF(AND(OR(E15=2,E15=0),G15=3),D15,"")</f>
      </c>
      <c r="T15" s="111">
        <f>IF(AND(OR(E15=3,E15=0),G15=3),D15,"")</f>
      </c>
      <c r="U15" s="111">
        <f>IF(AND(OR(E15=1,E15=0),G15=1,F15=1),D15,"")</f>
      </c>
      <c r="V15" s="111">
        <f>IF(AND(OR(E15=1,E15=0),G15=2,F15=1),D15,"")</f>
      </c>
      <c r="W15" s="111">
        <f>IF(AND(OR(E15=1,E15=0),G15=3,F15=1),D15,"")</f>
      </c>
      <c r="X15" s="111">
        <f>IF(AND(OR(E15=2,E15=0),G15=1,F15=1),D15,"")</f>
      </c>
      <c r="Y15" s="111">
        <f>IF(AND(OR(E15=2,E15=0),G15=2,F15=1),D15,"")</f>
      </c>
      <c r="Z15" s="111">
        <f>IF(AND(OR(E15=2,E15=0),G15=3,F15=1),D15,"")</f>
      </c>
      <c r="AA15" s="111">
        <f>IF(AND(OR(E15=3,E15=0),G15=1,F15=1),D15,"")</f>
      </c>
      <c r="AB15" s="111">
        <f>IF(AND(OR(E15=3,E15=0),G15=2,F15=1),D15,"")</f>
      </c>
      <c r="AC15" s="111">
        <f>IF(AND(OR(E15=3,E15=0),G15=3,F15=1),D15,"")</f>
      </c>
      <c r="AD15" s="111">
        <f>IF(AND(OR(E15=1,E15=0),G15=1,F15=0),J15,"")</f>
      </c>
      <c r="AE15" s="111">
        <f>IF(AND(OR(E15=1,E15=0),G15=2,F15=0),J15,"")</f>
      </c>
      <c r="AF15" s="111">
        <f>IF(AND(OR(E15=1,E15=0),G15=3,F15=0),J15,"")</f>
      </c>
      <c r="AG15" s="111">
        <f>IF(AND(OR(E15=1,E15=0),G15=1,F15=1),J15,"")</f>
      </c>
      <c r="AH15" s="111">
        <f>IF(AND(OR(E15=1,E15=0),G15=2,F15=1),J15,"")</f>
      </c>
      <c r="AI15" s="111">
        <f>IF(AND(OR(E15=1,E15=0),G15=3,F15=1),J15,"")</f>
      </c>
      <c r="AJ15" s="111">
        <f>IF(AND(OR(E15=2,E15=0),G15=1,F15=0),J15,"")</f>
      </c>
      <c r="AK15" s="111">
        <f>IF(AND(OR(E15=2,E15=0),G15=2,F15=0),J15,"")</f>
      </c>
      <c r="AL15" s="111">
        <f>IF(AND(OR(E15=2,E15=0),G15=3,F15=0),J15,"")</f>
      </c>
      <c r="AM15" s="111">
        <f>IF(AND(OR(E15=2,E15=0),G15=1,F15=1),J15,"")</f>
      </c>
      <c r="AN15" s="111">
        <f>IF(AND(OR(E15=2,E15=0),G15=2,F15=1),J15,"")</f>
      </c>
      <c r="AO15" s="111">
        <f>IF(AND(OR(E15=2,E15=0),G15=3,F15=1),J15,"")</f>
      </c>
      <c r="AP15" s="111">
        <f>IF(AND(OR(E15=3,E15=0),G15=1,F15=0),J15,"")</f>
      </c>
      <c r="AQ15" s="111">
        <f>IF(AND(OR(E15=3,E15=0),G15=2,F15=0),J15,"")</f>
      </c>
      <c r="AR15" s="111">
        <f>IF(AND(OR(E15=3,E15=0),G15=3,F15=0),J15,"")</f>
      </c>
      <c r="AS15" s="111">
        <f>IF(AND(OR(E15=3,E15=0),G15=1,F15=1),J15,"")</f>
      </c>
      <c r="AT15" s="111">
        <f>IF(AND(OR(E15=3,E15=0),G15=2,F15=1),J15,"")</f>
      </c>
      <c r="AU15" s="111">
        <f>IF(AND(OR(E15=3,E15=0),G15=3,F15=1),J15,"")</f>
      </c>
    </row>
    <row customHeight="true" ht="19" r="16">
      <c r="A16" s="99" t="str">
        <v>キラキラして綺麗～っ！（光夜）</v>
      </c>
      <c r="B16" s="99" t="str"/>
      <c r="C16" s="99" t="str"/>
      <c r="D16" s="116">
        <f>持有情况!Q76-ROW()*1e-05</f>
      </c>
      <c r="E16" s="116">
        <v>1</v>
      </c>
      <c r="F16" s="117">
        <v>0</v>
      </c>
      <c r="G16" s="116">
        <v>2</v>
      </c>
      <c r="H16" s="116">
        <v>1</v>
      </c>
      <c r="I16" s="111" t="str">
        <v>光夜</v>
      </c>
      <c r="J16" s="116">
        <f>IF(路线!C6="计算",INT((8.5/100)*路线!B12+11*路线!B33+17*路线!B18+22+40+20)-ROW()*1e-05,INT((8.5/100)*路线!B12+11*路线!B33+17*路线!B18+22+40)-ROW()*1e-05)</f>
      </c>
      <c r="K16" s="1" t="str"/>
      <c r="L16" s="111">
        <f>IF(AND(OR(E16=1,E16=0),G16=1),D16,"")</f>
      </c>
      <c r="M16" s="111">
        <f>IF(AND(OR(E16=2,E16=0),G16=1),D16,"")</f>
      </c>
      <c r="N16" s="111">
        <f>IF(AND(OR(E16=3,E16=0),G16=1),D16,"")</f>
      </c>
      <c r="O16" s="111">
        <f>IF(AND(OR(E16=1,E16=0),G16=2),D16,"")</f>
      </c>
      <c r="P16" s="111">
        <f>IF(AND(OR(E16=2,E16=0),G16=2),D16,"")</f>
      </c>
      <c r="Q16" s="111">
        <f>IF(AND(OR(E16=3,E16=0),G16=2),D16,"")</f>
      </c>
      <c r="R16" s="111">
        <f>IF(AND(OR(E16=1,E16=0),G16=3),D16,"")</f>
      </c>
      <c r="S16" s="111">
        <f>IF(AND(OR(E16=2,E16=0),G16=3),D16,"")</f>
      </c>
      <c r="T16" s="111">
        <f>IF(AND(OR(E16=3,E16=0),G16=3),D16,"")</f>
      </c>
      <c r="U16" s="111">
        <f>IF(AND(OR(E16=1,E16=0),G16=1,F16=1),D16,"")</f>
      </c>
      <c r="V16" s="111">
        <f>IF(AND(OR(E16=1,E16=0),G16=2,F16=1),D16,"")</f>
      </c>
      <c r="W16" s="111">
        <f>IF(AND(OR(E16=1,E16=0),G16=3,F16=1),D16,"")</f>
      </c>
      <c r="X16" s="111">
        <f>IF(AND(OR(E16=2,E16=0),G16=1,F16=1),D16,"")</f>
      </c>
      <c r="Y16" s="111">
        <f>IF(AND(OR(E16=2,E16=0),G16=2,F16=1),D16,"")</f>
      </c>
      <c r="Z16" s="111">
        <f>IF(AND(OR(E16=2,E16=0),G16=3,F16=1),D16,"")</f>
      </c>
      <c r="AA16" s="111">
        <f>IF(AND(OR(E16=3,E16=0),G16=1,F16=1),D16,"")</f>
      </c>
      <c r="AB16" s="111">
        <f>IF(AND(OR(E16=3,E16=0),G16=2,F16=1),D16,"")</f>
      </c>
      <c r="AC16" s="111">
        <f>IF(AND(OR(E16=3,E16=0),G16=3,F16=1),D16,"")</f>
      </c>
      <c r="AD16" s="111">
        <f>IF(AND(OR(E16=1,E16=0),G16=1,F16=0),J16,"")</f>
      </c>
      <c r="AE16" s="111">
        <f>IF(AND(OR(E16=1,E16=0),G16=2,F16=0),J16,"")</f>
      </c>
      <c r="AF16" s="111">
        <f>IF(AND(OR(E16=1,E16=0),G16=3,F16=0),J16,"")</f>
      </c>
      <c r="AG16" s="111">
        <f>IF(AND(OR(E16=1,E16=0),G16=1,F16=1),J16,"")</f>
      </c>
      <c r="AH16" s="111">
        <f>IF(AND(OR(E16=1,E16=0),G16=2,F16=1),J16,"")</f>
      </c>
      <c r="AI16" s="111">
        <f>IF(AND(OR(E16=1,E16=0),G16=3,F16=1),J16,"")</f>
      </c>
      <c r="AJ16" s="111">
        <f>IF(AND(OR(E16=2,E16=0),G16=1,F16=0),J16,"")</f>
      </c>
      <c r="AK16" s="111">
        <f>IF(AND(OR(E16=2,E16=0),G16=2,F16=0),J16,"")</f>
      </c>
      <c r="AL16" s="111">
        <f>IF(AND(OR(E16=2,E16=0),G16=3,F16=0),J16,"")</f>
      </c>
      <c r="AM16" s="111">
        <f>IF(AND(OR(E16=2,E16=0),G16=1,F16=1),J16,"")</f>
      </c>
      <c r="AN16" s="111">
        <f>IF(AND(OR(E16=2,E16=0),G16=2,F16=1),J16,"")</f>
      </c>
      <c r="AO16" s="111">
        <f>IF(AND(OR(E16=2,E16=0),G16=3,F16=1),J16,"")</f>
      </c>
      <c r="AP16" s="111">
        <f>IF(AND(OR(E16=3,E16=0),G16=1,F16=0),J16,"")</f>
      </c>
      <c r="AQ16" s="111">
        <f>IF(AND(OR(E16=3,E16=0),G16=2,F16=0),J16,"")</f>
      </c>
      <c r="AR16" s="111">
        <f>IF(AND(OR(E16=3,E16=0),G16=3,F16=0),J16,"")</f>
      </c>
      <c r="AS16" s="111">
        <f>IF(AND(OR(E16=3,E16=0),G16=1,F16=1),J16,"")</f>
      </c>
      <c r="AT16" s="111">
        <f>IF(AND(OR(E16=3,E16=0),G16=2,F16=1),J16,"")</f>
      </c>
      <c r="AU16" s="111">
        <f>IF(AND(OR(E16=3,E16=0),G16=3,F16=1),J16,"")</f>
      </c>
    </row>
    <row customHeight="true" ht="19" r="17">
      <c r="A17" s="86" t="str">
        <v>新生活のはじまりだね（米袋）</v>
      </c>
      <c r="B17" s="86" t="str"/>
      <c r="C17" s="86" t="str"/>
      <c r="D17" s="116">
        <f>IF(路线!B4="计算",持有情况!AC101,持有情况!AA100)-ROW()*1e-05</f>
      </c>
      <c r="E17" s="116">
        <v>3</v>
      </c>
      <c r="F17" s="116">
        <v>1</v>
      </c>
      <c r="G17" s="116">
        <v>3</v>
      </c>
      <c r="H17" s="116">
        <v>1</v>
      </c>
      <c r="I17" s="1" t="str"/>
      <c r="J17" s="116">
        <f>IF(路线!B4="计算",INT(60+6*路线!B17+4*路线!B26+40+持有情况!AC99),INT(60+6*路线!B17+4*路线!B26+40))-ROW()*1e-05</f>
      </c>
      <c r="K17" s="1" t="str"/>
      <c r="L17" s="111">
        <f>IF(AND(OR(E17=1,E17=0),G17=1),D17,"")</f>
      </c>
      <c r="M17" s="111">
        <f>IF(AND(OR(E17=2,E17=0),G17=1),D17,"")</f>
      </c>
      <c r="N17" s="111">
        <f>IF(AND(OR(E17=3,E17=0),G17=1),D17,"")</f>
      </c>
      <c r="O17" s="111">
        <f>IF(AND(OR(E17=1,E17=0),G17=2),D17,"")</f>
      </c>
      <c r="P17" s="111">
        <f>IF(AND(OR(E17=2,E17=0),G17=2),D17,"")</f>
      </c>
      <c r="Q17" s="111">
        <f>IF(AND(OR(E17=3,E17=0),G17=2),D17,"")</f>
      </c>
      <c r="R17" s="111">
        <f>IF(AND(OR(E17=1,E17=0),G17=3),D17,"")</f>
      </c>
      <c r="S17" s="111">
        <f>IF(AND(OR(E17=2,E17=0),G17=3),D17,"")</f>
      </c>
      <c r="T17" s="111">
        <f>IF(AND(OR(E17=3,E17=0),G17=3),D17,"")</f>
      </c>
      <c r="U17" s="111">
        <f>IF(AND(OR(E17=1,E17=0),G17=1,F17=1),D17,"")</f>
      </c>
      <c r="V17" s="111">
        <f>IF(AND(OR(E17=1,E17=0),G17=2,F17=1),D17,"")</f>
      </c>
      <c r="W17" s="111">
        <f>IF(AND(OR(E17=1,E17=0),G17=3,F17=1),D17,"")</f>
      </c>
      <c r="X17" s="111">
        <f>IF(AND(OR(E17=2,E17=0),G17=1,F17=1),D17,"")</f>
      </c>
      <c r="Y17" s="111">
        <f>IF(AND(OR(E17=2,E17=0),G17=2,F17=1),D17,"")</f>
      </c>
      <c r="Z17" s="111">
        <f>IF(AND(OR(E17=2,E17=0),G17=3,F17=1),D17,"")</f>
      </c>
      <c r="AA17" s="111">
        <f>IF(AND(OR(E17=3,E17=0),G17=1,F17=1),D17,"")</f>
      </c>
      <c r="AB17" s="111">
        <f>IF(AND(OR(E17=3,E17=0),G17=2,F17=1),D17,"")</f>
      </c>
      <c r="AC17" s="111">
        <f>IF(AND(OR(E17=3,E17=0),G17=3,F17=1),D17,"")</f>
      </c>
      <c r="AD17" s="111">
        <f>IF(AND(OR(E17=1,E17=0),G17=1,F17=0),J17,"")</f>
      </c>
      <c r="AE17" s="111">
        <f>IF(AND(OR(E17=1,E17=0),G17=2,F17=0),J17,"")</f>
      </c>
      <c r="AF17" s="111">
        <f>IF(AND(OR(E17=1,E17=0),G17=3,F17=0),J17,"")</f>
      </c>
      <c r="AG17" s="111">
        <f>IF(AND(OR(E17=1,E17=0),G17=1,F17=1),J17,"")</f>
      </c>
      <c r="AH17" s="111">
        <f>IF(AND(OR(E17=1,E17=0),G17=2,F17=1),J17,"")</f>
      </c>
      <c r="AI17" s="111">
        <f>IF(AND(OR(E17=1,E17=0),G17=3,F17=1),J17,"")</f>
      </c>
      <c r="AJ17" s="111">
        <f>IF(AND(OR(E17=2,E17=0),G17=1,F17=0),J17,"")</f>
      </c>
      <c r="AK17" s="111">
        <f>IF(AND(OR(E17=2,E17=0),G17=2,F17=0),J17,"")</f>
      </c>
      <c r="AL17" s="111">
        <f>IF(AND(OR(E17=2,E17=0),G17=3,F17=0),J17,"")</f>
      </c>
      <c r="AM17" s="111">
        <f>IF(AND(OR(E17=2,E17=0),G17=1,F17=1),J17,"")</f>
      </c>
      <c r="AN17" s="111">
        <f>IF(AND(OR(E17=2,E17=0),G17=2,F17=1),J17,"")</f>
      </c>
      <c r="AO17" s="111">
        <f>IF(AND(OR(E17=2,E17=0),G17=3,F17=1),J17,"")</f>
      </c>
      <c r="AP17" s="111">
        <f>IF(AND(OR(E17=3,E17=0),G17=1,F17=0),J17,"")</f>
      </c>
      <c r="AQ17" s="111">
        <f>IF(AND(OR(E17=3,E17=0),G17=2,F17=0),J17,"")</f>
      </c>
      <c r="AR17" s="111">
        <f>IF(AND(OR(E17=3,E17=0),G17=3,F17=0),J17,"")</f>
      </c>
      <c r="AS17" s="111">
        <f>IF(AND(OR(E17=3,E17=0),G17=1,F17=1),J17,"")</f>
      </c>
      <c r="AT17" s="111">
        <f>IF(AND(OR(E17=3,E17=0),G17=2,F17=1),J17,"")</f>
      </c>
      <c r="AU17" s="111">
        <f>IF(AND(OR(E17=3,E17=0),G17=3,F17=1),J17,"")</f>
      </c>
    </row>
    <row customHeight="true" ht="19" r="18">
      <c r="A18" s="75" t="str">
        <v>また、あんなに無理をして（红毛巾）</v>
      </c>
      <c r="B18" s="75" t="str"/>
      <c r="C18" s="75" t="str"/>
      <c r="D18" s="116">
        <f>持有情况!G10-ROW()*1e-05</f>
      </c>
      <c r="E18" s="117">
        <v>0</v>
      </c>
      <c r="F18" s="117">
        <v>0</v>
      </c>
      <c r="G18" s="116">
        <v>1</v>
      </c>
      <c r="H18" s="116">
        <v>1</v>
      </c>
      <c r="I18" s="111" t="str">
        <v>红毛巾</v>
      </c>
      <c r="J18" s="116">
        <f>INT((8.5/100)*路线!B12+15*路线!B31+3*路线!B24+40)-ROW()*1e-05</f>
      </c>
      <c r="K18" s="1" t="str"/>
      <c r="L18" s="111">
        <f>IF(AND(OR(E18=1,E18=0),G18=1),D18,"")</f>
      </c>
      <c r="M18" s="111">
        <f>IF(AND(OR(E18=2,E18=0),G18=1),D18,"")</f>
      </c>
      <c r="N18" s="111">
        <f>IF(AND(OR(E18=3,E18=0),G18=1),D18,"")</f>
      </c>
      <c r="O18" s="111">
        <f>IF(AND(OR(E18=1,E18=0),G18=2),D18,"")</f>
      </c>
      <c r="P18" s="111">
        <f>IF(AND(OR(E18=2,E18=0),G18=2),D18,"")</f>
      </c>
      <c r="Q18" s="111">
        <f>IF(AND(OR(E18=3,E18=0),G18=2),D18,"")</f>
      </c>
      <c r="R18" s="111">
        <f>IF(AND(OR(E18=1,E18=0),G18=3),D18,"")</f>
      </c>
      <c r="S18" s="111">
        <f>IF(AND(OR(E18=2,E18=0),G18=3),D18,"")</f>
      </c>
      <c r="T18" s="111">
        <f>IF(AND(OR(E18=3,E18=0),G18=3),D18,"")</f>
      </c>
      <c r="U18" s="111">
        <f>IF(AND(OR(E18=1,E18=0),G18=1,F18=1),D18,"")</f>
      </c>
      <c r="V18" s="111">
        <f>IF(AND(OR(E18=1,E18=0),G18=2,F18=1),D18,"")</f>
      </c>
      <c r="W18" s="111">
        <f>IF(AND(OR(E18=1,E18=0),G18=3,F18=1),D18,"")</f>
      </c>
      <c r="X18" s="111">
        <f>IF(AND(OR(E18=2,E18=0),G18=1,F18=1),D18,"")</f>
      </c>
      <c r="Y18" s="111">
        <f>IF(AND(OR(E18=2,E18=0),G18=2,F18=1),D18,"")</f>
      </c>
      <c r="Z18" s="111">
        <f>IF(AND(OR(E18=2,E18=0),G18=3,F18=1),D18,"")</f>
      </c>
      <c r="AA18" s="111">
        <f>IF(AND(OR(E18=3,E18=0),G18=1,F18=1),D18,"")</f>
      </c>
      <c r="AB18" s="111">
        <f>IF(AND(OR(E18=3,E18=0),G18=2,F18=1),D18,"")</f>
      </c>
      <c r="AC18" s="111">
        <f>IF(AND(OR(E18=3,E18=0),G18=3,F18=1),D18,"")</f>
      </c>
      <c r="AD18" s="111">
        <f>IF(AND(OR(E18=1,E18=0),G18=1,F18=0),J18,"")</f>
      </c>
      <c r="AE18" s="111">
        <f>IF(AND(OR(E18=1,E18=0),G18=2,F18=0),J18,"")</f>
      </c>
      <c r="AF18" s="111">
        <f>IF(AND(OR(E18=1,E18=0),G18=3,F18=0),J18,"")</f>
      </c>
      <c r="AG18" s="111">
        <f>IF(AND(OR(E18=1,E18=0),G18=1,F18=1),J18,"")</f>
      </c>
      <c r="AH18" s="111">
        <f>IF(AND(OR(E18=1,E18=0),G18=2,F18=1),J18,"")</f>
      </c>
      <c r="AI18" s="111">
        <f>IF(AND(OR(E18=1,E18=0),G18=3,F18=1),J18,"")</f>
      </c>
      <c r="AJ18" s="111">
        <f>IF(AND(OR(E18=2,E18=0),G18=1,F18=0),J18,"")</f>
      </c>
      <c r="AK18" s="111">
        <f>IF(AND(OR(E18=2,E18=0),G18=2,F18=0),J18,"")</f>
      </c>
      <c r="AL18" s="111">
        <f>IF(AND(OR(E18=2,E18=0),G18=3,F18=0),J18,"")</f>
      </c>
      <c r="AM18" s="111">
        <f>IF(AND(OR(E18=2,E18=0),G18=1,F18=1),J18,"")</f>
      </c>
      <c r="AN18" s="111">
        <f>IF(AND(OR(E18=2,E18=0),G18=2,F18=1),J18,"")</f>
      </c>
      <c r="AO18" s="111">
        <f>IF(AND(OR(E18=2,E18=0),G18=3,F18=1),J18,"")</f>
      </c>
      <c r="AP18" s="111">
        <f>IF(AND(OR(E18=3,E18=0),G18=1,F18=0),J18,"")</f>
      </c>
      <c r="AQ18" s="111">
        <f>IF(AND(OR(E18=3,E18=0),G18=2,F18=0),J18,"")</f>
      </c>
      <c r="AR18" s="111">
        <f>IF(AND(OR(E18=3,E18=0),G18=3,F18=0),J18,"")</f>
      </c>
      <c r="AS18" s="111">
        <f>IF(AND(OR(E18=3,E18=0),G18=1,F18=1),J18,"")</f>
      </c>
      <c r="AT18" s="111">
        <f>IF(AND(OR(E18=3,E18=0),G18=2,F18=1),J18,"")</f>
      </c>
      <c r="AU18" s="111">
        <f>IF(AND(OR(E18=3,E18=0),G18=3,F18=1),J18,"")</f>
      </c>
    </row>
    <row customHeight="true" ht="19" r="19">
      <c r="A19" s="86" t="str">
        <v>新たな挑戦の成功ですわ！（黄书签）</v>
      </c>
      <c r="B19" s="86" t="str"/>
      <c r="C19" s="86" t="str"/>
      <c r="D19" s="116">
        <f>IF(路线!B4="计算",持有情况!AC65,持有情况!AA64)-ROW()*1e-05</f>
      </c>
      <c r="E19" s="117">
        <v>0</v>
      </c>
      <c r="F19" s="116">
        <v>1</v>
      </c>
      <c r="G19" s="116">
        <v>3</v>
      </c>
      <c r="H19" s="117">
        <v>0</v>
      </c>
      <c r="I19" s="1" t="str"/>
      <c r="J19" s="116">
        <f>IF(路线!B4="计算",INT(60+6*路线!B17+3*路线!B23+40+持有情况!AC63),INT(60+6*路线!B17+3*路线!B23+40))-ROW()*1e-05</f>
      </c>
      <c r="K19" s="1" t="str"/>
      <c r="L19" s="111">
        <f>IF(AND(OR(E19=1,E19=0),G19=1),D19,"")</f>
      </c>
      <c r="M19" s="111">
        <f>IF(AND(OR(E19=2,E19=0),G19=1),D19,"")</f>
      </c>
      <c r="N19" s="111">
        <f>IF(AND(OR(E19=3,E19=0),G19=1),D19,"")</f>
      </c>
      <c r="O19" s="111">
        <f>IF(AND(OR(E19=1,E19=0),G19=2),D19,"")</f>
      </c>
      <c r="P19" s="111">
        <f>IF(AND(OR(E19=2,E19=0),G19=2),D19,"")</f>
      </c>
      <c r="Q19" s="111">
        <f>IF(AND(OR(E19=3,E19=0),G19=2),D19,"")</f>
      </c>
      <c r="R19" s="111">
        <f>IF(AND(OR(E19=1,E19=0),G19=3),D19,"")</f>
      </c>
      <c r="S19" s="111">
        <f>IF(AND(OR(E19=2,E19=0),G19=3),D19,"")</f>
      </c>
      <c r="T19" s="111">
        <f>IF(AND(OR(E19=3,E19=0),G19=3),D19,"")</f>
      </c>
      <c r="U19" s="111">
        <f>IF(AND(OR(E19=1,E19=0),G19=1,F19=1),D19,"")</f>
      </c>
      <c r="V19" s="111">
        <f>IF(AND(OR(E19=1,E19=0),G19=2,F19=1),D19,"")</f>
      </c>
      <c r="W19" s="111">
        <f>IF(AND(OR(E19=1,E19=0),G19=3,F19=1),D19,"")</f>
      </c>
      <c r="X19" s="111">
        <f>IF(AND(OR(E19=2,E19=0),G19=1,F19=1),D19,"")</f>
      </c>
      <c r="Y19" s="111">
        <f>IF(AND(OR(E19=2,E19=0),G19=2,F19=1),D19,"")</f>
      </c>
      <c r="Z19" s="111">
        <f>IF(AND(OR(E19=2,E19=0),G19=3,F19=1),D19,"")</f>
      </c>
      <c r="AA19" s="111">
        <f>IF(AND(OR(E19=3,E19=0),G19=1,F19=1),D19,"")</f>
      </c>
      <c r="AB19" s="111">
        <f>IF(AND(OR(E19=3,E19=0),G19=2,F19=1),D19,"")</f>
      </c>
      <c r="AC19" s="111">
        <f>IF(AND(OR(E19=3,E19=0),G19=3,F19=1),D19,"")</f>
      </c>
      <c r="AD19" s="111">
        <f>IF(AND(OR(E19=1,E19=0),G19=1,F19=0),J19,"")</f>
      </c>
      <c r="AE19" s="111">
        <f>IF(AND(OR(E19=1,E19=0),G19=2,F19=0),J19,"")</f>
      </c>
      <c r="AF19" s="111">
        <f>IF(AND(OR(E19=1,E19=0),G19=3,F19=0),J19,"")</f>
      </c>
      <c r="AG19" s="111">
        <f>IF(AND(OR(E19=1,E19=0),G19=1,F19=1),J19,"")</f>
      </c>
      <c r="AH19" s="111">
        <f>IF(AND(OR(E19=1,E19=0),G19=2,F19=1),J19,"")</f>
      </c>
      <c r="AI19" s="111">
        <f>IF(AND(OR(E19=1,E19=0),G19=3,F19=1),J19,"")</f>
      </c>
      <c r="AJ19" s="111">
        <f>IF(AND(OR(E19=2,E19=0),G19=1,F19=0),J19,"")</f>
      </c>
      <c r="AK19" s="111">
        <f>IF(AND(OR(E19=2,E19=0),G19=2,F19=0),J19,"")</f>
      </c>
      <c r="AL19" s="111">
        <f>IF(AND(OR(E19=2,E19=0),G19=3,F19=0),J19,"")</f>
      </c>
      <c r="AM19" s="111">
        <f>IF(AND(OR(E19=2,E19=0),G19=1,F19=1),J19,"")</f>
      </c>
      <c r="AN19" s="111">
        <f>IF(AND(OR(E19=2,E19=0),G19=2,F19=1),J19,"")</f>
      </c>
      <c r="AO19" s="111">
        <f>IF(AND(OR(E19=2,E19=0),G19=3,F19=1),J19,"")</f>
      </c>
      <c r="AP19" s="111">
        <f>IF(AND(OR(E19=3,E19=0),G19=1,F19=0),J19,"")</f>
      </c>
      <c r="AQ19" s="111">
        <f>IF(AND(OR(E19=3,E19=0),G19=2,F19=0),J19,"")</f>
      </c>
      <c r="AR19" s="111">
        <f>IF(AND(OR(E19=3,E19=0),G19=3,F19=0),J19,"")</f>
      </c>
      <c r="AS19" s="111">
        <f>IF(AND(OR(E19=3,E19=0),G19=1,F19=1),J19,"")</f>
      </c>
      <c r="AT19" s="111">
        <f>IF(AND(OR(E19=3,E19=0),G19=2,F19=1),J19,"")</f>
      </c>
      <c r="AU19" s="111">
        <f>IF(AND(OR(E19=3,E19=0),G19=3,F19=1),J19,"")</f>
      </c>
    </row>
    <row customHeight="true" ht="19" r="20">
      <c r="A20" s="99" t="str">
        <v>あなたたちのことが好き（秋千）</v>
      </c>
      <c r="B20" s="99" t="str"/>
      <c r="C20" s="99" t="str"/>
      <c r="D20" s="116">
        <f>持有情况!Q94-ROW()*1e-05</f>
      </c>
      <c r="E20" s="116">
        <v>2</v>
      </c>
      <c r="F20" s="116">
        <v>1</v>
      </c>
      <c r="G20" s="116">
        <v>2</v>
      </c>
      <c r="H20" s="117">
        <v>0</v>
      </c>
      <c r="I20" s="1" t="str"/>
      <c r="J20" s="116">
        <f>INT(60+17*路线!B18+9*路线!B29+40)-ROW()*1e-05</f>
      </c>
      <c r="K20" s="1" t="str"/>
      <c r="L20" s="111">
        <f>IF(AND(OR(E20=1,E20=0),G20=1),D20,"")</f>
      </c>
      <c r="M20" s="111">
        <f>IF(AND(OR(E20=2,E20=0),G20=1),D20,"")</f>
      </c>
      <c r="N20" s="111">
        <f>IF(AND(OR(E20=3,E20=0),G20=1),D20,"")</f>
      </c>
      <c r="O20" s="111">
        <f>IF(AND(OR(E20=1,E20=0),G20=2),D20,"")</f>
      </c>
      <c r="P20" s="111">
        <f>IF(AND(OR(E20=2,E20=0),G20=2),D20,"")</f>
      </c>
      <c r="Q20" s="111">
        <f>IF(AND(OR(E20=3,E20=0),G20=2),D20,"")</f>
      </c>
      <c r="R20" s="111">
        <f>IF(AND(OR(E20=1,E20=0),G20=3),D20,"")</f>
      </c>
      <c r="S20" s="111">
        <f>IF(AND(OR(E20=2,E20=0),G20=3),D20,"")</f>
      </c>
      <c r="T20" s="111">
        <f>IF(AND(OR(E20=3,E20=0),G20=3),D20,"")</f>
      </c>
      <c r="U20" s="111">
        <f>IF(AND(OR(E20=1,E20=0),G20=1,F20=1),D20,"")</f>
      </c>
      <c r="V20" s="111">
        <f>IF(AND(OR(E20=1,E20=0),G20=2,F20=1),D20,"")</f>
      </c>
      <c r="W20" s="111">
        <f>IF(AND(OR(E20=1,E20=0),G20=3,F20=1),D20,"")</f>
      </c>
      <c r="X20" s="111">
        <f>IF(AND(OR(E20=2,E20=0),G20=1,F20=1),D20,"")</f>
      </c>
      <c r="Y20" s="111">
        <f>IF(AND(OR(E20=2,E20=0),G20=2,F20=1),D20,"")</f>
      </c>
      <c r="Z20" s="111">
        <f>IF(AND(OR(E20=2,E20=0),G20=3,F20=1),D20,"")</f>
      </c>
      <c r="AA20" s="111">
        <f>IF(AND(OR(E20=3,E20=0),G20=1,F20=1),D20,"")</f>
      </c>
      <c r="AB20" s="111">
        <f>IF(AND(OR(E20=3,E20=0),G20=2,F20=1),D20,"")</f>
      </c>
      <c r="AC20" s="111">
        <f>IF(AND(OR(E20=3,E20=0),G20=3,F20=1),D20,"")</f>
      </c>
      <c r="AD20" s="111">
        <f>IF(AND(OR(E20=1,E20=0),G20=1,F20=0),J20,"")</f>
      </c>
      <c r="AE20" s="111">
        <f>IF(AND(OR(E20=1,E20=0),G20=2,F20=0),J20,"")</f>
      </c>
      <c r="AF20" s="111">
        <f>IF(AND(OR(E20=1,E20=0),G20=3,F20=0),J20,"")</f>
      </c>
      <c r="AG20" s="111">
        <f>IF(AND(OR(E20=1,E20=0),G20=1,F20=1),J20,"")</f>
      </c>
      <c r="AH20" s="111">
        <f>IF(AND(OR(E20=1,E20=0),G20=2,F20=1),J20,"")</f>
      </c>
      <c r="AI20" s="111">
        <f>IF(AND(OR(E20=1,E20=0),G20=3,F20=1),J20,"")</f>
      </c>
      <c r="AJ20" s="111">
        <f>IF(AND(OR(E20=2,E20=0),G20=1,F20=0),J20,"")</f>
      </c>
      <c r="AK20" s="111">
        <f>IF(AND(OR(E20=2,E20=0),G20=2,F20=0),J20,"")</f>
      </c>
      <c r="AL20" s="111">
        <f>IF(AND(OR(E20=2,E20=0),G20=3,F20=0),J20,"")</f>
      </c>
      <c r="AM20" s="111">
        <f>IF(AND(OR(E20=2,E20=0),G20=1,F20=1),J20,"")</f>
      </c>
      <c r="AN20" s="111">
        <f>IF(AND(OR(E20=2,E20=0),G20=2,F20=1),J20,"")</f>
      </c>
      <c r="AO20" s="111">
        <f>IF(AND(OR(E20=2,E20=0),G20=3,F20=1),J20,"")</f>
      </c>
      <c r="AP20" s="111">
        <f>IF(AND(OR(E20=3,E20=0),G20=1,F20=0),J20,"")</f>
      </c>
      <c r="AQ20" s="111">
        <f>IF(AND(OR(E20=3,E20=0),G20=2,F20=0),J20,"")</f>
      </c>
      <c r="AR20" s="111">
        <f>IF(AND(OR(E20=3,E20=0),G20=3,F20=0),J20,"")</f>
      </c>
      <c r="AS20" s="111">
        <f>IF(AND(OR(E20=3,E20=0),G20=1,F20=1),J20,"")</f>
      </c>
      <c r="AT20" s="111">
        <f>IF(AND(OR(E20=3,E20=0),G20=2,F20=1),J20,"")</f>
      </c>
      <c r="AU20" s="111">
        <f>IF(AND(OR(E20=3,E20=0),G20=3,F20=1),J20,"")</f>
      </c>
    </row>
    <row customHeight="true" ht="19" r="21">
      <c r="A21" s="86" t="str">
        <v>花火、やりませんか……？（花火）</v>
      </c>
      <c r="B21" s="86" t="str"/>
      <c r="C21" s="86" t="str"/>
      <c r="D21" s="116">
        <f>持有情况!AA52-ROW()*1e-05</f>
      </c>
      <c r="E21" s="116">
        <v>1</v>
      </c>
      <c r="F21" s="117">
        <v>0</v>
      </c>
      <c r="G21" s="116">
        <v>3</v>
      </c>
      <c r="H21" s="116">
        <v>1</v>
      </c>
      <c r="I21" s="111" t="str">
        <v>花火</v>
      </c>
      <c r="J21" s="116">
        <f>IF(路线!C6="计算",INT((8.5/100)*路线!B12+3*路线!B23+17*路线!B18+11*路线!B33+40+20)-ROW()*1e-05,INT((8.5/100)*路线!B12+3*路线!B23+17*路线!B18+11*路线!B33+40)-ROW()*1e-05)</f>
      </c>
      <c r="K21" s="1" t="str"/>
      <c r="L21" s="111">
        <f>IF(AND(OR(E21=1,E21=0),G21=1),D21,"")</f>
      </c>
      <c r="M21" s="111">
        <f>IF(AND(OR(E21=2,E21=0),G21=1),D21,"")</f>
      </c>
      <c r="N21" s="111">
        <f>IF(AND(OR(E21=3,E21=0),G21=1),D21,"")</f>
      </c>
      <c r="O21" s="111">
        <f>IF(AND(OR(E21=1,E21=0),G21=2),D21,"")</f>
      </c>
      <c r="P21" s="111">
        <f>IF(AND(OR(E21=2,E21=0),G21=2),D21,"")</f>
      </c>
      <c r="Q21" s="111">
        <f>IF(AND(OR(E21=3,E21=0),G21=2),D21,"")</f>
      </c>
      <c r="R21" s="111">
        <f>IF(AND(OR(E21=1,E21=0),G21=3),D21,"")</f>
      </c>
      <c r="S21" s="111">
        <f>IF(AND(OR(E21=2,E21=0),G21=3),D21,"")</f>
      </c>
      <c r="T21" s="111">
        <f>IF(AND(OR(E21=3,E21=0),G21=3),D21,"")</f>
      </c>
      <c r="U21" s="111">
        <f>IF(AND(OR(E21=1,E21=0),G21=1,F21=1),D21,"")</f>
      </c>
      <c r="V21" s="111">
        <f>IF(AND(OR(E21=1,E21=0),G21=2,F21=1),D21,"")</f>
      </c>
      <c r="W21" s="111">
        <f>IF(AND(OR(E21=1,E21=0),G21=3,F21=1),D21,"")</f>
      </c>
      <c r="X21" s="111">
        <f>IF(AND(OR(E21=2,E21=0),G21=1,F21=1),D21,"")</f>
      </c>
      <c r="Y21" s="111">
        <f>IF(AND(OR(E21=2,E21=0),G21=2,F21=1),D21,"")</f>
      </c>
      <c r="Z21" s="111">
        <f>IF(AND(OR(E21=2,E21=0),G21=3,F21=1),D21,"")</f>
      </c>
      <c r="AA21" s="111">
        <f>IF(AND(OR(E21=3,E21=0),G21=1,F21=1),D21,"")</f>
      </c>
      <c r="AB21" s="111">
        <f>IF(AND(OR(E21=3,E21=0),G21=2,F21=1),D21,"")</f>
      </c>
      <c r="AC21" s="111">
        <f>IF(AND(OR(E21=3,E21=0),G21=3,F21=1),D21,"")</f>
      </c>
      <c r="AD21" s="111">
        <f>IF(AND(OR(E21=1,E21=0),G21=1,F21=0),J21,"")</f>
      </c>
      <c r="AE21" s="111">
        <f>IF(AND(OR(E21=1,E21=0),G21=2,F21=0),J21,"")</f>
      </c>
      <c r="AF21" s="111">
        <f>IF(AND(OR(E21=1,E21=0),G21=3,F21=0),J21,"")</f>
      </c>
      <c r="AG21" s="111">
        <f>IF(AND(OR(E21=1,E21=0),G21=1,F21=1),J21,"")</f>
      </c>
      <c r="AH21" s="111">
        <f>IF(AND(OR(E21=1,E21=0),G21=2,F21=1),J21,"")</f>
      </c>
      <c r="AI21" s="111">
        <f>IF(AND(OR(E21=1,E21=0),G21=3,F21=1),J21,"")</f>
      </c>
      <c r="AJ21" s="111">
        <f>IF(AND(OR(E21=2,E21=0),G21=1,F21=0),J21,"")</f>
      </c>
      <c r="AK21" s="111">
        <f>IF(AND(OR(E21=2,E21=0),G21=2,F21=0),J21,"")</f>
      </c>
      <c r="AL21" s="111">
        <f>IF(AND(OR(E21=2,E21=0),G21=3,F21=0),J21,"")</f>
      </c>
      <c r="AM21" s="111">
        <f>IF(AND(OR(E21=2,E21=0),G21=1,F21=1),J21,"")</f>
      </c>
      <c r="AN21" s="111">
        <f>IF(AND(OR(E21=2,E21=0),G21=2,F21=1),J21,"")</f>
      </c>
      <c r="AO21" s="111">
        <f>IF(AND(OR(E21=2,E21=0),G21=3,F21=1),J21,"")</f>
      </c>
      <c r="AP21" s="111">
        <f>IF(AND(OR(E21=3,E21=0),G21=1,F21=0),J21,"")</f>
      </c>
      <c r="AQ21" s="111">
        <f>IF(AND(OR(E21=3,E21=0),G21=2,F21=0),J21,"")</f>
      </c>
      <c r="AR21" s="111">
        <f>IF(AND(OR(E21=3,E21=0),G21=3,F21=0),J21,"")</f>
      </c>
      <c r="AS21" s="111">
        <f>IF(AND(OR(E21=3,E21=0),G21=1,F21=1),J21,"")</f>
      </c>
      <c r="AT21" s="111">
        <f>IF(AND(OR(E21=3,E21=0),G21=2,F21=1),J21,"")</f>
      </c>
      <c r="AU21" s="111">
        <f>IF(AND(OR(E21=3,E21=0),G21=3,F21=1),J21,"")</f>
      </c>
    </row>
    <row customHeight="true" ht="19" r="22">
      <c r="A22" s="99" t="str">
        <v>ガールズ♡トーク（女子会）</v>
      </c>
      <c r="B22" s="99" t="str"/>
      <c r="C22" s="99" t="str"/>
      <c r="D22" s="116">
        <f>持有情况!AU100-ROW()*1e-05</f>
      </c>
      <c r="E22" s="116">
        <v>1</v>
      </c>
      <c r="F22" s="117">
        <v>0</v>
      </c>
      <c r="G22" s="116">
        <v>2</v>
      </c>
      <c r="H22" s="117">
        <v>0</v>
      </c>
      <c r="I22" s="1" t="str"/>
      <c r="J22" s="116">
        <f>INT(45+10*路线!B31+6*路线!B29+13*路线!B18+30)-ROW()*1e-05</f>
      </c>
      <c r="K22" s="1" t="str"/>
      <c r="L22" s="111">
        <f>IF(AND(OR(E22=1,E22=0),G22=1),D22,"")</f>
      </c>
      <c r="M22" s="111">
        <f>IF(AND(OR(E22=2,E22=0),G22=1),D22,"")</f>
      </c>
      <c r="N22" s="111">
        <f>IF(AND(OR(E22=3,E22=0),G22=1),D22,"")</f>
      </c>
      <c r="O22" s="111">
        <f>IF(AND(OR(E22=1,E22=0),G22=2),D22,"")</f>
      </c>
      <c r="P22" s="111">
        <f>IF(AND(OR(E22=2,E22=0),G22=2),D22,"")</f>
      </c>
      <c r="Q22" s="111">
        <f>IF(AND(OR(E22=3,E22=0),G22=2),D22,"")</f>
      </c>
      <c r="R22" s="111">
        <f>IF(AND(OR(E22=1,E22=0),G22=3),D22,"")</f>
      </c>
      <c r="S22" s="111">
        <f>IF(AND(OR(E22=2,E22=0),G22=3),D22,"")</f>
      </c>
      <c r="T22" s="111">
        <f>IF(AND(OR(E22=3,E22=0),G22=3),D22,"")</f>
      </c>
      <c r="U22" s="111">
        <f>IF(AND(OR(E22=1,E22=0),G22=1,F22=1),D22,"")</f>
      </c>
      <c r="V22" s="111">
        <f>IF(AND(OR(E22=1,E22=0),G22=2,F22=1),D22,"")</f>
      </c>
      <c r="W22" s="111">
        <f>IF(AND(OR(E22=1,E22=0),G22=3,F22=1),D22,"")</f>
      </c>
      <c r="X22" s="111">
        <f>IF(AND(OR(E22=2,E22=0),G22=1,F22=1),D22,"")</f>
      </c>
      <c r="Y22" s="111">
        <f>IF(AND(OR(E22=2,E22=0),G22=2,F22=1),D22,"")</f>
      </c>
      <c r="Z22" s="111">
        <f>IF(AND(OR(E22=2,E22=0),G22=3,F22=1),D22,"")</f>
      </c>
      <c r="AA22" s="111">
        <f>IF(AND(OR(E22=3,E22=0),G22=1,F22=1),D22,"")</f>
      </c>
      <c r="AB22" s="111">
        <f>IF(AND(OR(E22=3,E22=0),G22=2,F22=1),D22,"")</f>
      </c>
      <c r="AC22" s="111">
        <f>IF(AND(OR(E22=3,E22=0),G22=3,F22=1),D22,"")</f>
      </c>
      <c r="AD22" s="111">
        <f>IF(AND(OR(E22=1,E22=0),G22=1,F22=0),J22,"")</f>
      </c>
      <c r="AE22" s="111">
        <f>IF(AND(OR(E22=1,E22=0),G22=2,F22=0),J22,"")</f>
      </c>
      <c r="AF22" s="111">
        <f>IF(AND(OR(E22=1,E22=0),G22=3,F22=0),J22,"")</f>
      </c>
      <c r="AG22" s="111">
        <f>IF(AND(OR(E22=1,E22=0),G22=1,F22=1),J22,"")</f>
      </c>
      <c r="AH22" s="111">
        <f>IF(AND(OR(E22=1,E22=0),G22=2,F22=1),J22,"")</f>
      </c>
      <c r="AI22" s="111">
        <f>IF(AND(OR(E22=1,E22=0),G22=3,F22=1),J22,"")</f>
      </c>
      <c r="AJ22" s="111">
        <f>IF(AND(OR(E22=2,E22=0),G22=1,F22=0),J22,"")</f>
      </c>
      <c r="AK22" s="111">
        <f>IF(AND(OR(E22=2,E22=0),G22=2,F22=0),J22,"")</f>
      </c>
      <c r="AL22" s="111">
        <f>IF(AND(OR(E22=2,E22=0),G22=3,F22=0),J22,"")</f>
      </c>
      <c r="AM22" s="111">
        <f>IF(AND(OR(E22=2,E22=0),G22=1,F22=1),J22,"")</f>
      </c>
      <c r="AN22" s="111">
        <f>IF(AND(OR(E22=2,E22=0),G22=2,F22=1),J22,"")</f>
      </c>
      <c r="AO22" s="111">
        <f>IF(AND(OR(E22=2,E22=0),G22=3,F22=1),J22,"")</f>
      </c>
      <c r="AP22" s="111">
        <f>IF(AND(OR(E22=3,E22=0),G22=1,F22=0),J22,"")</f>
      </c>
      <c r="AQ22" s="111">
        <f>IF(AND(OR(E22=3,E22=0),G22=2,F22=0),J22,"")</f>
      </c>
      <c r="AR22" s="111">
        <f>IF(AND(OR(E22=3,E22=0),G22=3,F22=0),J22,"")</f>
      </c>
      <c r="AS22" s="111">
        <f>IF(AND(OR(E22=3,E22=0),G22=1,F22=1),J22,"")</f>
      </c>
      <c r="AT22" s="111">
        <f>IF(AND(OR(E22=3,E22=0),G22=2,F22=1),J22,"")</f>
      </c>
      <c r="AU22" s="111">
        <f>IF(AND(OR(E22=3,E22=0),G22=3,F22=1),J22,"")</f>
      </c>
    </row>
    <row customHeight="true" ht="19" r="23">
      <c r="A23" s="86" t="str">
        <v>お姉ちゃんに任せなさい！（黄发卡）</v>
      </c>
      <c r="B23" s="86" t="str"/>
      <c r="C23" s="86" t="str"/>
      <c r="D23" s="116">
        <f>持有情况!AA28-ROW()*1e-05</f>
      </c>
      <c r="E23" s="117">
        <v>0</v>
      </c>
      <c r="F23" s="117">
        <v>0</v>
      </c>
      <c r="G23" s="116">
        <v>3</v>
      </c>
      <c r="H23" s="116">
        <v>1</v>
      </c>
      <c r="I23" s="111" t="str">
        <v>黄发卡</v>
      </c>
      <c r="J23" s="116">
        <f>INT((8.5/100)*路线!B12+17*路线!B18+4*(路线!B28+路线!B29)+40)-ROW()*1e-05</f>
      </c>
      <c r="K23" s="1" t="str"/>
      <c r="L23" s="111">
        <f>IF(AND(OR(E23=1,E23=0),G23=1),D23,"")</f>
      </c>
      <c r="M23" s="111">
        <f>IF(AND(OR(E23=2,E23=0),G23=1),D23,"")</f>
      </c>
      <c r="N23" s="111">
        <f>IF(AND(OR(E23=3,E23=0),G23=1),D23,"")</f>
      </c>
      <c r="O23" s="111">
        <f>IF(AND(OR(E23=1,E23=0),G23=2),D23,"")</f>
      </c>
      <c r="P23" s="111">
        <f>IF(AND(OR(E23=2,E23=0),G23=2),D23,"")</f>
      </c>
      <c r="Q23" s="111">
        <f>IF(AND(OR(E23=3,E23=0),G23=2),D23,"")</f>
      </c>
      <c r="R23" s="111">
        <f>IF(AND(OR(E23=1,E23=0),G23=3),D23,"")</f>
      </c>
      <c r="S23" s="111">
        <f>IF(AND(OR(E23=2,E23=0),G23=3),D23,"")</f>
      </c>
      <c r="T23" s="111">
        <f>IF(AND(OR(E23=3,E23=0),G23=3),D23,"")</f>
      </c>
      <c r="U23" s="111">
        <f>IF(AND(OR(E23=1,E23=0),G23=1,F23=1),D23,"")</f>
      </c>
      <c r="V23" s="111">
        <f>IF(AND(OR(E23=1,E23=0),G23=2,F23=1),D23,"")</f>
      </c>
      <c r="W23" s="111">
        <f>IF(AND(OR(E23=1,E23=0),G23=3,F23=1),D23,"")</f>
      </c>
      <c r="X23" s="111">
        <f>IF(AND(OR(E23=2,E23=0),G23=1,F23=1),D23,"")</f>
      </c>
      <c r="Y23" s="111">
        <f>IF(AND(OR(E23=2,E23=0),G23=2,F23=1),D23,"")</f>
      </c>
      <c r="Z23" s="111">
        <f>IF(AND(OR(E23=2,E23=0),G23=3,F23=1),D23,"")</f>
      </c>
      <c r="AA23" s="111">
        <f>IF(AND(OR(E23=3,E23=0),G23=1,F23=1),D23,"")</f>
      </c>
      <c r="AB23" s="111">
        <f>IF(AND(OR(E23=3,E23=0),G23=2,F23=1),D23,"")</f>
      </c>
      <c r="AC23" s="111">
        <f>IF(AND(OR(E23=3,E23=0),G23=3,F23=1),D23,"")</f>
      </c>
      <c r="AD23" s="111">
        <f>IF(AND(OR(E23=1,E23=0),G23=1,F23=0),J23,"")</f>
      </c>
      <c r="AE23" s="111">
        <f>IF(AND(OR(E23=1,E23=0),G23=2,F23=0),J23,"")</f>
      </c>
      <c r="AF23" s="111">
        <f>IF(AND(OR(E23=1,E23=0),G23=3,F23=0),J23,"")</f>
      </c>
      <c r="AG23" s="111">
        <f>IF(AND(OR(E23=1,E23=0),G23=1,F23=1),J23,"")</f>
      </c>
      <c r="AH23" s="111">
        <f>IF(AND(OR(E23=1,E23=0),G23=2,F23=1),J23,"")</f>
      </c>
      <c r="AI23" s="111">
        <f>IF(AND(OR(E23=1,E23=0),G23=3,F23=1),J23,"")</f>
      </c>
      <c r="AJ23" s="111">
        <f>IF(AND(OR(E23=2,E23=0),G23=1,F23=0),J23,"")</f>
      </c>
      <c r="AK23" s="111">
        <f>IF(AND(OR(E23=2,E23=0),G23=2,F23=0),J23,"")</f>
      </c>
      <c r="AL23" s="111">
        <f>IF(AND(OR(E23=2,E23=0),G23=3,F23=0),J23,"")</f>
      </c>
      <c r="AM23" s="111">
        <f>IF(AND(OR(E23=2,E23=0),G23=1,F23=1),J23,"")</f>
      </c>
      <c r="AN23" s="111">
        <f>IF(AND(OR(E23=2,E23=0),G23=2,F23=1),J23,"")</f>
      </c>
      <c r="AO23" s="111">
        <f>IF(AND(OR(E23=2,E23=0),G23=3,F23=1),J23,"")</f>
      </c>
      <c r="AP23" s="111">
        <f>IF(AND(OR(E23=3,E23=0),G23=1,F23=0),J23,"")</f>
      </c>
      <c r="AQ23" s="111">
        <f>IF(AND(OR(E23=3,E23=0),G23=2,F23=0),J23,"")</f>
      </c>
      <c r="AR23" s="111">
        <f>IF(AND(OR(E23=3,E23=0),G23=3,F23=0),J23,"")</f>
      </c>
      <c r="AS23" s="111">
        <f>IF(AND(OR(E23=3,E23=0),G23=1,F23=1),J23,"")</f>
      </c>
      <c r="AT23" s="111">
        <f>IF(AND(OR(E23=3,E23=0),G23=2,F23=1),J23,"")</f>
      </c>
      <c r="AU23" s="111">
        <f>IF(AND(OR(E23=3,E23=0),G23=3,F23=1),J23,"")</f>
      </c>
    </row>
    <row customHeight="true" ht="19" r="24">
      <c r="A24" s="75" t="str">
        <v>絶対にお渡ししますわっ！（巧克力）</v>
      </c>
      <c r="B24" s="75" t="str"/>
      <c r="C24" s="75" t="str"/>
      <c r="D24" s="116">
        <f>持有情况!G88-ROW()*1e-05</f>
      </c>
      <c r="E24" s="116">
        <v>2</v>
      </c>
      <c r="F24" s="116">
        <v>1</v>
      </c>
      <c r="G24" s="116">
        <v>1</v>
      </c>
      <c r="H24" s="116">
        <v>1</v>
      </c>
      <c r="I24" s="111" t="str">
        <v>巧克力</v>
      </c>
      <c r="J24" s="116">
        <f>INT(60+6*路线!B17+15*路线!B31+40)-ROW()*1e-05</f>
      </c>
      <c r="K24" s="1" t="str"/>
      <c r="L24" s="111">
        <f>IF(AND(OR(E24=1,E24=0),G24=1),D24,"")</f>
      </c>
      <c r="M24" s="111">
        <f>IF(AND(OR(E24=2,E24=0),G24=1),D24,"")</f>
      </c>
      <c r="N24" s="111">
        <f>IF(AND(OR(E24=3,E24=0),G24=1),D24,"")</f>
      </c>
      <c r="O24" s="111">
        <f>IF(AND(OR(E24=1,E24=0),G24=2),D24,"")</f>
      </c>
      <c r="P24" s="111">
        <f>IF(AND(OR(E24=2,E24=0),G24=2),D24,"")</f>
      </c>
      <c r="Q24" s="111">
        <f>IF(AND(OR(E24=3,E24=0),G24=2),D24,"")</f>
      </c>
      <c r="R24" s="111">
        <f>IF(AND(OR(E24=1,E24=0),G24=3),D24,"")</f>
      </c>
      <c r="S24" s="111">
        <f>IF(AND(OR(E24=2,E24=0),G24=3),D24,"")</f>
      </c>
      <c r="T24" s="111">
        <f>IF(AND(OR(E24=3,E24=0),G24=3),D24,"")</f>
      </c>
      <c r="U24" s="111">
        <f>IF(AND(OR(E24=1,E24=0),G24=1,F24=1),D24,"")</f>
      </c>
      <c r="V24" s="111">
        <f>IF(AND(OR(E24=1,E24=0),G24=2,F24=1),D24,"")</f>
      </c>
      <c r="W24" s="111">
        <f>IF(AND(OR(E24=1,E24=0),G24=3,F24=1),D24,"")</f>
      </c>
      <c r="X24" s="111">
        <f>IF(AND(OR(E24=2,E24=0),G24=1,F24=1),D24,"")</f>
      </c>
      <c r="Y24" s="111">
        <f>IF(AND(OR(E24=2,E24=0),G24=2,F24=1),D24,"")</f>
      </c>
      <c r="Z24" s="111">
        <f>IF(AND(OR(E24=2,E24=0),G24=3,F24=1),D24,"")</f>
      </c>
      <c r="AA24" s="111">
        <f>IF(AND(OR(E24=3,E24=0),G24=1,F24=1),D24,"")</f>
      </c>
      <c r="AB24" s="111">
        <f>IF(AND(OR(E24=3,E24=0),G24=2,F24=1),D24,"")</f>
      </c>
      <c r="AC24" s="111">
        <f>IF(AND(OR(E24=3,E24=0),G24=3,F24=1),D24,"")</f>
      </c>
      <c r="AD24" s="111">
        <f>IF(AND(OR(E24=1,E24=0),G24=1,F24=0),J24,"")</f>
      </c>
      <c r="AE24" s="111">
        <f>IF(AND(OR(E24=1,E24=0),G24=2,F24=0),J24,"")</f>
      </c>
      <c r="AF24" s="111">
        <f>IF(AND(OR(E24=1,E24=0),G24=3,F24=0),J24,"")</f>
      </c>
      <c r="AG24" s="111">
        <f>IF(AND(OR(E24=1,E24=0),G24=1,F24=1),J24,"")</f>
      </c>
      <c r="AH24" s="111">
        <f>IF(AND(OR(E24=1,E24=0),G24=2,F24=1),J24,"")</f>
      </c>
      <c r="AI24" s="111">
        <f>IF(AND(OR(E24=1,E24=0),G24=3,F24=1),J24,"")</f>
      </c>
      <c r="AJ24" s="111">
        <f>IF(AND(OR(E24=2,E24=0),G24=1,F24=0),J24,"")</f>
      </c>
      <c r="AK24" s="111">
        <f>IF(AND(OR(E24=2,E24=0),G24=2,F24=0),J24,"")</f>
      </c>
      <c r="AL24" s="111">
        <f>IF(AND(OR(E24=2,E24=0),G24=3,F24=0),J24,"")</f>
      </c>
      <c r="AM24" s="111">
        <f>IF(AND(OR(E24=2,E24=0),G24=1,F24=1),J24,"")</f>
      </c>
      <c r="AN24" s="111">
        <f>IF(AND(OR(E24=2,E24=0),G24=2,F24=1),J24,"")</f>
      </c>
      <c r="AO24" s="111">
        <f>IF(AND(OR(E24=2,E24=0),G24=3,F24=1),J24,"")</f>
      </c>
      <c r="AP24" s="111">
        <f>IF(AND(OR(E24=3,E24=0),G24=1,F24=0),J24,"")</f>
      </c>
      <c r="AQ24" s="111">
        <f>IF(AND(OR(E24=3,E24=0),G24=2,F24=0),J24,"")</f>
      </c>
      <c r="AR24" s="111">
        <f>IF(AND(OR(E24=3,E24=0),G24=3,F24=0),J24,"")</f>
      </c>
      <c r="AS24" s="111">
        <f>IF(AND(OR(E24=3,E24=0),G24=1,F24=1),J24,"")</f>
      </c>
      <c r="AT24" s="111">
        <f>IF(AND(OR(E24=3,E24=0),G24=2,F24=1),J24,"")</f>
      </c>
      <c r="AU24" s="111">
        <f>IF(AND(OR(E24=3,E24=0),G24=3,F24=1),J24,"")</f>
      </c>
    </row>
    <row customHeight="true" ht="19" r="25">
      <c r="A25" s="86" t="str">
        <v>ほっぺた、ぷに（黄永年）</v>
      </c>
      <c r="B25" s="86" t="str"/>
      <c r="C25" s="86" t="str"/>
      <c r="D25" s="116">
        <f>IF(路线!B4="计算",持有情况!BG17,持有情况!BE16)-ROW()*1e-05</f>
      </c>
      <c r="E25" s="117">
        <v>0</v>
      </c>
      <c r="F25" s="117">
        <v>0</v>
      </c>
      <c r="G25" s="116">
        <v>3</v>
      </c>
      <c r="H25" s="117">
        <v>0</v>
      </c>
      <c r="I25" s="1" t="str"/>
      <c r="J25" s="116">
        <f>IF(路线!B4="计算",INT((6.4/100)*路线!B12+5*路线!B30+13*路线!B19+30+持有情况!AM15),INT((6.4/100)*路线!B12+5*路线!B30+13*路线!B19+30))-ROW()*1e-05</f>
      </c>
      <c r="K25" s="1" t="str"/>
      <c r="L25" s="111">
        <f>IF(AND(OR(E25=1,E25=0),G25=1),D25,"")</f>
      </c>
      <c r="M25" s="111">
        <f>IF(AND(OR(E25=2,E25=0),G25=1),D25,"")</f>
      </c>
      <c r="N25" s="111">
        <f>IF(AND(OR(E25=3,E25=0),G25=1),D25,"")</f>
      </c>
      <c r="O25" s="111">
        <f>IF(AND(OR(E25=1,E25=0),G25=2),D25,"")</f>
      </c>
      <c r="P25" s="111">
        <f>IF(AND(OR(E25=2,E25=0),G25=2),D25,"")</f>
      </c>
      <c r="Q25" s="111">
        <f>IF(AND(OR(E25=3,E25=0),G25=2),D25,"")</f>
      </c>
      <c r="R25" s="111">
        <f>IF(AND(OR(E25=1,E25=0),G25=3),D25,"")</f>
      </c>
      <c r="S25" s="111">
        <f>IF(AND(OR(E25=2,E25=0),G25=3),D25,"")</f>
      </c>
      <c r="T25" s="111">
        <f>IF(AND(OR(E25=3,E25=0),G25=3),D25,"")</f>
      </c>
      <c r="U25" s="111">
        <f>IF(AND(OR(E25=1,E25=0),G25=1,F25=1),D25,"")</f>
      </c>
      <c r="V25" s="111">
        <f>IF(AND(OR(E25=1,E25=0),G25=2,F25=1),D25,"")</f>
      </c>
      <c r="W25" s="111">
        <f>IF(AND(OR(E25=1,E25=0),G25=3,F25=1),D25,"")</f>
      </c>
      <c r="X25" s="111">
        <f>IF(AND(OR(E25=2,E25=0),G25=1,F25=1),D25,"")</f>
      </c>
      <c r="Y25" s="111">
        <f>IF(AND(OR(E25=2,E25=0),G25=2,F25=1),D25,"")</f>
      </c>
      <c r="Z25" s="111">
        <f>IF(AND(OR(E25=2,E25=0),G25=3,F25=1),D25,"")</f>
      </c>
      <c r="AA25" s="111">
        <f>IF(AND(OR(E25=3,E25=0),G25=1,F25=1),D25,"")</f>
      </c>
      <c r="AB25" s="111">
        <f>IF(AND(OR(E25=3,E25=0),G25=2,F25=1),D25,"")</f>
      </c>
      <c r="AC25" s="111">
        <f>IF(AND(OR(E25=3,E25=0),G25=3,F25=1),D25,"")</f>
      </c>
      <c r="AD25" s="111">
        <f>IF(AND(OR(E25=1,E25=0),G25=1,F25=0),J25,"")</f>
      </c>
      <c r="AE25" s="111">
        <f>IF(AND(OR(E25=1,E25=0),G25=2,F25=0),J25,"")</f>
      </c>
      <c r="AF25" s="111">
        <f>IF(AND(OR(E25=1,E25=0),G25=3,F25=0),J25,"")</f>
      </c>
      <c r="AG25" s="111">
        <f>IF(AND(OR(E25=1,E25=0),G25=1,F25=1),J25,"")</f>
      </c>
      <c r="AH25" s="111">
        <f>IF(AND(OR(E25=1,E25=0),G25=2,F25=1),J25,"")</f>
      </c>
      <c r="AI25" s="111">
        <f>IF(AND(OR(E25=1,E25=0),G25=3,F25=1),J25,"")</f>
      </c>
      <c r="AJ25" s="111">
        <f>IF(AND(OR(E25=2,E25=0),G25=1,F25=0),J25,"")</f>
      </c>
      <c r="AK25" s="111">
        <f>IF(AND(OR(E25=2,E25=0),G25=2,F25=0),J25,"")</f>
      </c>
      <c r="AL25" s="111">
        <f>IF(AND(OR(E25=2,E25=0),G25=3,F25=0),J25,"")</f>
      </c>
      <c r="AM25" s="111">
        <f>IF(AND(OR(E25=2,E25=0),G25=1,F25=1),J25,"")</f>
      </c>
      <c r="AN25" s="111">
        <f>IF(AND(OR(E25=2,E25=0),G25=2,F25=1),J25,"")</f>
      </c>
      <c r="AO25" s="111">
        <f>IF(AND(OR(E25=2,E25=0),G25=3,F25=1),J25,"")</f>
      </c>
      <c r="AP25" s="111">
        <f>IF(AND(OR(E25=3,E25=0),G25=1,F25=0),J25,"")</f>
      </c>
      <c r="AQ25" s="111">
        <f>IF(AND(OR(E25=3,E25=0),G25=2,F25=0),J25,"")</f>
      </c>
      <c r="AR25" s="111">
        <f>IF(AND(OR(E25=3,E25=0),G25=3,F25=0),J25,"")</f>
      </c>
      <c r="AS25" s="111">
        <f>IF(AND(OR(E25=3,E25=0),G25=1,F25=1),J25,"")</f>
      </c>
      <c r="AT25" s="111">
        <f>IF(AND(OR(E25=3,E25=0),G25=2,F25=1),J25,"")</f>
      </c>
      <c r="AU25" s="111">
        <f>IF(AND(OR(E25=3,E25=0),G25=3,F25=1),J25,"")</f>
      </c>
    </row>
    <row customHeight="true" ht="19" r="26">
      <c r="A26" s="86" t="str">
        <v>奥義、三重とび！（花式跳绳）</v>
      </c>
      <c r="B26" s="86" t="str"/>
      <c r="C26" s="86" t="str"/>
      <c r="D26" s="116">
        <f>IF(路线!B4="计算",持有情况!BG83,持有情况!BE82)-ROW()*1e-05</f>
      </c>
      <c r="E26" s="116">
        <v>3</v>
      </c>
      <c r="F26" s="117">
        <v>0</v>
      </c>
      <c r="G26" s="116">
        <v>3</v>
      </c>
      <c r="H26" s="117">
        <v>0</v>
      </c>
      <c r="I26" s="1" t="str"/>
      <c r="J26" s="116">
        <f>IF(路线!B4="计算",INT(45+6*路线!B29+17+5*路线!B30+30+持有情况!BG81),INT(45+6*路线!B29+17+5*路线!B30+30))-ROW()*1e-05</f>
      </c>
      <c r="K26" s="1" t="str"/>
      <c r="L26" s="111">
        <f>IF(AND(OR(E26=1,E26=0),G26=1),D26,"")</f>
      </c>
      <c r="M26" s="111">
        <f>IF(AND(OR(E26=2,E26=0),G26=1),D26,"")</f>
      </c>
      <c r="N26" s="111">
        <f>IF(AND(OR(E26=3,E26=0),G26=1),D26,"")</f>
      </c>
      <c r="O26" s="111">
        <f>IF(AND(OR(E26=1,E26=0),G26=2),D26,"")</f>
      </c>
      <c r="P26" s="111">
        <f>IF(AND(OR(E26=2,E26=0),G26=2),D26,"")</f>
      </c>
      <c r="Q26" s="111">
        <f>IF(AND(OR(E26=3,E26=0),G26=2),D26,"")</f>
      </c>
      <c r="R26" s="111">
        <f>IF(AND(OR(E26=1,E26=0),G26=3),D26,"")</f>
      </c>
      <c r="S26" s="111">
        <f>IF(AND(OR(E26=2,E26=0),G26=3),D26,"")</f>
      </c>
      <c r="T26" s="111">
        <f>IF(AND(OR(E26=3,E26=0),G26=3),D26,"")</f>
      </c>
      <c r="U26" s="111">
        <f>IF(AND(OR(E26=1,E26=0),G26=1,F26=1),D26,"")</f>
      </c>
      <c r="V26" s="111">
        <f>IF(AND(OR(E26=1,E26=0),G26=2,F26=1),D26,"")</f>
      </c>
      <c r="W26" s="111">
        <f>IF(AND(OR(E26=1,E26=0),G26=3,F26=1),D26,"")</f>
      </c>
      <c r="X26" s="111">
        <f>IF(AND(OR(E26=2,E26=0),G26=1,F26=1),D26,"")</f>
      </c>
      <c r="Y26" s="111">
        <f>IF(AND(OR(E26=2,E26=0),G26=2,F26=1),D26,"")</f>
      </c>
      <c r="Z26" s="111">
        <f>IF(AND(OR(E26=2,E26=0),G26=3,F26=1),D26,"")</f>
      </c>
      <c r="AA26" s="111">
        <f>IF(AND(OR(E26=3,E26=0),G26=1,F26=1),D26,"")</f>
      </c>
      <c r="AB26" s="111">
        <f>IF(AND(OR(E26=3,E26=0),G26=2,F26=1),D26,"")</f>
      </c>
      <c r="AC26" s="111">
        <f>IF(AND(OR(E26=3,E26=0),G26=3,F26=1),D26,"")</f>
      </c>
      <c r="AD26" s="111">
        <f>IF(AND(OR(E26=1,E26=0),G26=1,F26=0),J26,"")</f>
      </c>
      <c r="AE26" s="111">
        <f>IF(AND(OR(E26=1,E26=0),G26=2,F26=0),J26,"")</f>
      </c>
      <c r="AF26" s="111">
        <f>IF(AND(OR(E26=1,E26=0),G26=3,F26=0),J26,"")</f>
      </c>
      <c r="AG26" s="111">
        <f>IF(AND(OR(E26=1,E26=0),G26=1,F26=1),J26,"")</f>
      </c>
      <c r="AH26" s="111">
        <f>IF(AND(OR(E26=1,E26=0),G26=2,F26=1),J26,"")</f>
      </c>
      <c r="AI26" s="111">
        <f>IF(AND(OR(E26=1,E26=0),G26=3,F26=1),J26,"")</f>
      </c>
      <c r="AJ26" s="111">
        <f>IF(AND(OR(E26=2,E26=0),G26=1,F26=0),J26,"")</f>
      </c>
      <c r="AK26" s="111">
        <f>IF(AND(OR(E26=2,E26=0),G26=2,F26=0),J26,"")</f>
      </c>
      <c r="AL26" s="111">
        <f>IF(AND(OR(E26=2,E26=0),G26=3,F26=0),J26,"")</f>
      </c>
      <c r="AM26" s="111">
        <f>IF(AND(OR(E26=2,E26=0),G26=1,F26=1),J26,"")</f>
      </c>
      <c r="AN26" s="111">
        <f>IF(AND(OR(E26=2,E26=0),G26=2,F26=1),J26,"")</f>
      </c>
      <c r="AO26" s="111">
        <f>IF(AND(OR(E26=2,E26=0),G26=3,F26=1),J26,"")</f>
      </c>
      <c r="AP26" s="111">
        <f>IF(AND(OR(E26=3,E26=0),G26=1,F26=0),J26,"")</f>
      </c>
      <c r="AQ26" s="111">
        <f>IF(AND(OR(E26=3,E26=0),G26=2,F26=0),J26,"")</f>
      </c>
      <c r="AR26" s="111">
        <f>IF(AND(OR(E26=3,E26=0),G26=3,F26=0),J26,"")</f>
      </c>
      <c r="AS26" s="111">
        <f>IF(AND(OR(E26=3,E26=0),G26=1,F26=1),J26,"")</f>
      </c>
      <c r="AT26" s="111">
        <f>IF(AND(OR(E26=3,E26=0),G26=2,F26=1),J26,"")</f>
      </c>
      <c r="AU26" s="111">
        <f>IF(AND(OR(E26=3,E26=0),G26=3,F26=1),J26,"")</f>
      </c>
    </row>
    <row customHeight="true" ht="19" r="27">
      <c r="A27" s="75" t="str">
        <v>こいつらめんどくさー（红吵架）</v>
      </c>
      <c r="B27" s="75" t="str"/>
      <c r="C27" s="75" t="str"/>
      <c r="D27" s="116">
        <f>持有情况!G28-ROW()*1e-05</f>
      </c>
      <c r="E27" s="116">
        <v>1</v>
      </c>
      <c r="F27" s="117">
        <v>0</v>
      </c>
      <c r="G27" s="116">
        <v>1</v>
      </c>
      <c r="H27" s="116">
        <v>1</v>
      </c>
      <c r="I27" s="111" t="str">
        <v>红吵架</v>
      </c>
      <c r="J27" s="116">
        <f>IF(路线!C6="计算",INT(路线!B12*(8.5/100)+7*路线!B29+13*路线!B18+40+20)-ROW()*1e-05,INT(路线!B12*(8.5/100)+7*路线!B29+13*路线!B18+40)-ROW()*1e-05)</f>
      </c>
      <c r="K27" s="1" t="str"/>
      <c r="L27" s="111">
        <f>IF(AND(OR(E27=1,E27=0),G27=1),D27,"")</f>
      </c>
      <c r="M27" s="111">
        <f>IF(AND(OR(E27=2,E27=0),G27=1),D27,"")</f>
      </c>
      <c r="N27" s="111">
        <f>IF(AND(OR(E27=3,E27=0),G27=1),D27,"")</f>
      </c>
      <c r="O27" s="111">
        <f>IF(AND(OR(E27=1,E27=0),G27=2),D27,"")</f>
      </c>
      <c r="P27" s="111">
        <f>IF(AND(OR(E27=2,E27=0),G27=2),D27,"")</f>
      </c>
      <c r="Q27" s="111">
        <f>IF(AND(OR(E27=3,E27=0),G27=2),D27,"")</f>
      </c>
      <c r="R27" s="111">
        <f>IF(AND(OR(E27=1,E27=0),G27=3),D27,"")</f>
      </c>
      <c r="S27" s="111">
        <f>IF(AND(OR(E27=2,E27=0),G27=3),D27,"")</f>
      </c>
      <c r="T27" s="111">
        <f>IF(AND(OR(E27=3,E27=0),G27=3),D27,"")</f>
      </c>
      <c r="U27" s="111">
        <f>IF(AND(OR(E27=1,E27=0),G27=1,F27=1),D27,"")</f>
      </c>
      <c r="V27" s="111">
        <f>IF(AND(OR(E27=1,E27=0),G27=2,F27=1),D27,"")</f>
      </c>
      <c r="W27" s="111">
        <f>IF(AND(OR(E27=1,E27=0),G27=3,F27=1),D27,"")</f>
      </c>
      <c r="X27" s="111">
        <f>IF(AND(OR(E27=2,E27=0),G27=1,F27=1),D27,"")</f>
      </c>
      <c r="Y27" s="111">
        <f>IF(AND(OR(E27=2,E27=0),G27=2,F27=1),D27,"")</f>
      </c>
      <c r="Z27" s="111">
        <f>IF(AND(OR(E27=2,E27=0),G27=3,F27=1),D27,"")</f>
      </c>
      <c r="AA27" s="111">
        <f>IF(AND(OR(E27=3,E27=0),G27=1,F27=1),D27,"")</f>
      </c>
      <c r="AB27" s="111">
        <f>IF(AND(OR(E27=3,E27=0),G27=2,F27=1),D27,"")</f>
      </c>
      <c r="AC27" s="111">
        <f>IF(AND(OR(E27=3,E27=0),G27=3,F27=1),D27,"")</f>
      </c>
      <c r="AD27" s="111">
        <f>IF(AND(OR(E27=1,E27=0),G27=1,F27=0),J27,"")</f>
      </c>
      <c r="AE27" s="111">
        <f>IF(AND(OR(E27=1,E27=0),G27=2,F27=0),J27,"")</f>
      </c>
      <c r="AF27" s="111">
        <f>IF(AND(OR(E27=1,E27=0),G27=3,F27=0),J27,"")</f>
      </c>
      <c r="AG27" s="111">
        <f>IF(AND(OR(E27=1,E27=0),G27=1,F27=1),J27,"")</f>
      </c>
      <c r="AH27" s="111">
        <f>IF(AND(OR(E27=1,E27=0),G27=2,F27=1),J27,"")</f>
      </c>
      <c r="AI27" s="111">
        <f>IF(AND(OR(E27=1,E27=0),G27=3,F27=1),J27,"")</f>
      </c>
      <c r="AJ27" s="111">
        <f>IF(AND(OR(E27=2,E27=0),G27=1,F27=0),J27,"")</f>
      </c>
      <c r="AK27" s="111">
        <f>IF(AND(OR(E27=2,E27=0),G27=2,F27=0),J27,"")</f>
      </c>
      <c r="AL27" s="111">
        <f>IF(AND(OR(E27=2,E27=0),G27=3,F27=0),J27,"")</f>
      </c>
      <c r="AM27" s="111">
        <f>IF(AND(OR(E27=2,E27=0),G27=1,F27=1),J27,"")</f>
      </c>
      <c r="AN27" s="111">
        <f>IF(AND(OR(E27=2,E27=0),G27=2,F27=1),J27,"")</f>
      </c>
      <c r="AO27" s="111">
        <f>IF(AND(OR(E27=2,E27=0),G27=3,F27=1),J27,"")</f>
      </c>
      <c r="AP27" s="111">
        <f>IF(AND(OR(E27=3,E27=0),G27=1,F27=0),J27,"")</f>
      </c>
      <c r="AQ27" s="111">
        <f>IF(AND(OR(E27=3,E27=0),G27=2,F27=0),J27,"")</f>
      </c>
      <c r="AR27" s="111">
        <f>IF(AND(OR(E27=3,E27=0),G27=3,F27=0),J27,"")</f>
      </c>
      <c r="AS27" s="111">
        <f>IF(AND(OR(E27=3,E27=0),G27=1,F27=1),J27,"")</f>
      </c>
      <c r="AT27" s="111">
        <f>IF(AND(OR(E27=3,E27=0),G27=2,F27=1),J27,"")</f>
      </c>
      <c r="AU27" s="111">
        <f>IF(AND(OR(E27=3,E27=0),G27=3,F27=1),J27,"")</f>
      </c>
    </row>
    <row customHeight="true" ht="19" r="28">
      <c r="A28" s="99" t="str">
        <v>わたしたち、やればできる（蓝厨房）</v>
      </c>
      <c r="B28" s="99" t="str"/>
      <c r="C28" s="99" t="str"/>
      <c r="D28" s="116">
        <f>持有情况!Q16-ROW()*1e-05</f>
      </c>
      <c r="E28" s="116">
        <v>2</v>
      </c>
      <c r="F28" s="117">
        <v>0</v>
      </c>
      <c r="G28" s="116">
        <v>2</v>
      </c>
      <c r="H28" s="116">
        <v>1</v>
      </c>
      <c r="I28" s="111" t="str">
        <v>蓝厨房</v>
      </c>
      <c r="J28" s="116">
        <f>IF(路线!C6="计算",INT(路线!B12*(8.5/100)+7*路线!B29+13*路线!B18+40+20)-ROW()*1e-05,INT(路线!B12*(8.5/100)+7*路线!B29+13*路线!B18+40)-ROW()*1e-05)</f>
      </c>
      <c r="K28" s="1" t="str"/>
      <c r="L28" s="111">
        <f>IF(AND(OR(E28=1,E28=0),G28=1),D28,"")</f>
      </c>
      <c r="M28" s="111">
        <f>IF(AND(OR(E28=2,E28=0),G28=1),D28,"")</f>
      </c>
      <c r="N28" s="111">
        <f>IF(AND(OR(E28=3,E28=0),G28=1),D28,"")</f>
      </c>
      <c r="O28" s="111">
        <f>IF(AND(OR(E28=1,E28=0),G28=2),D28,"")</f>
      </c>
      <c r="P28" s="111">
        <f>IF(AND(OR(E28=2,E28=0),G28=2),D28,"")</f>
      </c>
      <c r="Q28" s="111">
        <f>IF(AND(OR(E28=3,E28=0),G28=2),D28,"")</f>
      </c>
      <c r="R28" s="111">
        <f>IF(AND(OR(E28=1,E28=0),G28=3),D28,"")</f>
      </c>
      <c r="S28" s="111">
        <f>IF(AND(OR(E28=2,E28=0),G28=3),D28,"")</f>
      </c>
      <c r="T28" s="111">
        <f>IF(AND(OR(E28=3,E28=0),G28=3),D28,"")</f>
      </c>
      <c r="U28" s="111">
        <f>IF(AND(OR(E28=1,E28=0),G28=1,F28=1),D28,"")</f>
      </c>
      <c r="V28" s="111">
        <f>IF(AND(OR(E28=1,E28=0),G28=2,F28=1),D28,"")</f>
      </c>
      <c r="W28" s="111">
        <f>IF(AND(OR(E28=1,E28=0),G28=3,F28=1),D28,"")</f>
      </c>
      <c r="X28" s="111">
        <f>IF(AND(OR(E28=2,E28=0),G28=1,F28=1),D28,"")</f>
      </c>
      <c r="Y28" s="111">
        <f>IF(AND(OR(E28=2,E28=0),G28=2,F28=1),D28,"")</f>
      </c>
      <c r="Z28" s="111">
        <f>IF(AND(OR(E28=2,E28=0),G28=3,F28=1),D28,"")</f>
      </c>
      <c r="AA28" s="111">
        <f>IF(AND(OR(E28=3,E28=0),G28=1,F28=1),D28,"")</f>
      </c>
      <c r="AB28" s="111">
        <f>IF(AND(OR(E28=3,E28=0),G28=2,F28=1),D28,"")</f>
      </c>
      <c r="AC28" s="111">
        <f>IF(AND(OR(E28=3,E28=0),G28=3,F28=1),D28,"")</f>
      </c>
      <c r="AD28" s="111">
        <f>IF(AND(OR(E28=1,E28=0),G28=1,F28=0),J28,"")</f>
      </c>
      <c r="AE28" s="111">
        <f>IF(AND(OR(E28=1,E28=0),G28=2,F28=0),J28,"")</f>
      </c>
      <c r="AF28" s="111">
        <f>IF(AND(OR(E28=1,E28=0),G28=3,F28=0),J28,"")</f>
      </c>
      <c r="AG28" s="111">
        <f>IF(AND(OR(E28=1,E28=0),G28=1,F28=1),J28,"")</f>
      </c>
      <c r="AH28" s="111">
        <f>IF(AND(OR(E28=1,E28=0),G28=2,F28=1),J28,"")</f>
      </c>
      <c r="AI28" s="111">
        <f>IF(AND(OR(E28=1,E28=0),G28=3,F28=1),J28,"")</f>
      </c>
      <c r="AJ28" s="111">
        <f>IF(AND(OR(E28=2,E28=0),G28=1,F28=0),J28,"")</f>
      </c>
      <c r="AK28" s="111">
        <f>IF(AND(OR(E28=2,E28=0),G28=2,F28=0),J28,"")</f>
      </c>
      <c r="AL28" s="111">
        <f>IF(AND(OR(E28=2,E28=0),G28=3,F28=0),J28,"")</f>
      </c>
      <c r="AM28" s="111">
        <f>IF(AND(OR(E28=2,E28=0),G28=1,F28=1),J28,"")</f>
      </c>
      <c r="AN28" s="111">
        <f>IF(AND(OR(E28=2,E28=0),G28=2,F28=1),J28,"")</f>
      </c>
      <c r="AO28" s="111">
        <f>IF(AND(OR(E28=2,E28=0),G28=3,F28=1),J28,"")</f>
      </c>
      <c r="AP28" s="111">
        <f>IF(AND(OR(E28=3,E28=0),G28=1,F28=0),J28,"")</f>
      </c>
      <c r="AQ28" s="111">
        <f>IF(AND(OR(E28=3,E28=0),G28=2,F28=0),J28,"")</f>
      </c>
      <c r="AR28" s="111">
        <f>IF(AND(OR(E28=3,E28=0),G28=3,F28=0),J28,"")</f>
      </c>
      <c r="AS28" s="111">
        <f>IF(AND(OR(E28=3,E28=0),G28=1,F28=1),J28,"")</f>
      </c>
      <c r="AT28" s="111">
        <f>IF(AND(OR(E28=3,E28=0),G28=2,F28=1),J28,"")</f>
      </c>
      <c r="AU28" s="111">
        <f>IF(AND(OR(E28=3,E28=0),G28=3,F28=1),J28,"")</f>
      </c>
    </row>
    <row customHeight="true" ht="19" r="29">
      <c r="A29" s="99" t="str">
        <v>ひとりで立てますか？（溜冰）</v>
      </c>
      <c r="B29" s="99" t="str"/>
      <c r="C29" s="99" t="str"/>
      <c r="D29" s="116">
        <f>持有情况!Q100-ROW()*1e-05</f>
      </c>
      <c r="E29" s="117">
        <v>0</v>
      </c>
      <c r="F29" s="116">
        <v>1</v>
      </c>
      <c r="G29" s="116">
        <v>2</v>
      </c>
      <c r="H29" s="116">
        <v>1</v>
      </c>
      <c r="I29" s="111" t="str">
        <v>溜冰</v>
      </c>
      <c r="J29" s="116">
        <f>INT(60+17*路线!B18+3*路线!B24+40)-ROW()*1e-05</f>
      </c>
      <c r="K29" s="1" t="str"/>
      <c r="L29" s="111">
        <f>IF(AND(OR(E29=1,E29=0),G29=1),D29,"")</f>
      </c>
      <c r="M29" s="111">
        <f>IF(AND(OR(E29=2,E29=0),G29=1),D29,"")</f>
      </c>
      <c r="N29" s="111">
        <f>IF(AND(OR(E29=3,E29=0),G29=1),D29,"")</f>
      </c>
      <c r="O29" s="111">
        <f>IF(AND(OR(E29=1,E29=0),G29=2),D29,"")</f>
      </c>
      <c r="P29" s="111">
        <f>IF(AND(OR(E29=2,E29=0),G29=2),D29,"")</f>
      </c>
      <c r="Q29" s="111">
        <f>IF(AND(OR(E29=3,E29=0),G29=2),D29,"")</f>
      </c>
      <c r="R29" s="111">
        <f>IF(AND(OR(E29=1,E29=0),G29=3),D29,"")</f>
      </c>
      <c r="S29" s="111">
        <f>IF(AND(OR(E29=2,E29=0),G29=3),D29,"")</f>
      </c>
      <c r="T29" s="111">
        <f>IF(AND(OR(E29=3,E29=0),G29=3),D29,"")</f>
      </c>
      <c r="U29" s="111">
        <f>IF(AND(OR(E29=1,E29=0),G29=1,F29=1),D29,"")</f>
      </c>
      <c r="V29" s="111">
        <f>IF(AND(OR(E29=1,E29=0),G29=2,F29=1),D29,"")</f>
      </c>
      <c r="W29" s="111">
        <f>IF(AND(OR(E29=1,E29=0),G29=3,F29=1),D29,"")</f>
      </c>
      <c r="X29" s="111">
        <f>IF(AND(OR(E29=2,E29=0),G29=1,F29=1),D29,"")</f>
      </c>
      <c r="Y29" s="111">
        <f>IF(AND(OR(E29=2,E29=0),G29=2,F29=1),D29,"")</f>
      </c>
      <c r="Z29" s="111">
        <f>IF(AND(OR(E29=2,E29=0),G29=3,F29=1),D29,"")</f>
      </c>
      <c r="AA29" s="111">
        <f>IF(AND(OR(E29=3,E29=0),G29=1,F29=1),D29,"")</f>
      </c>
      <c r="AB29" s="111">
        <f>IF(AND(OR(E29=3,E29=0),G29=2,F29=1),D29,"")</f>
      </c>
      <c r="AC29" s="111">
        <f>IF(AND(OR(E29=3,E29=0),G29=3,F29=1),D29,"")</f>
      </c>
      <c r="AD29" s="111">
        <f>IF(AND(OR(E29=1,E29=0),G29=1,F29=0),J29,"")</f>
      </c>
      <c r="AE29" s="111">
        <f>IF(AND(OR(E29=1,E29=0),G29=2,F29=0),J29,"")</f>
      </c>
      <c r="AF29" s="111">
        <f>IF(AND(OR(E29=1,E29=0),G29=3,F29=0),J29,"")</f>
      </c>
      <c r="AG29" s="111">
        <f>IF(AND(OR(E29=1,E29=0),G29=1,F29=1),J29,"")</f>
      </c>
      <c r="AH29" s="111">
        <f>IF(AND(OR(E29=1,E29=0),G29=2,F29=1),J29,"")</f>
      </c>
      <c r="AI29" s="111">
        <f>IF(AND(OR(E29=1,E29=0),G29=3,F29=1),J29,"")</f>
      </c>
      <c r="AJ29" s="111">
        <f>IF(AND(OR(E29=2,E29=0),G29=1,F29=0),J29,"")</f>
      </c>
      <c r="AK29" s="111">
        <f>IF(AND(OR(E29=2,E29=0),G29=2,F29=0),J29,"")</f>
      </c>
      <c r="AL29" s="111">
        <f>IF(AND(OR(E29=2,E29=0),G29=3,F29=0),J29,"")</f>
      </c>
      <c r="AM29" s="111">
        <f>IF(AND(OR(E29=2,E29=0),G29=1,F29=1),J29,"")</f>
      </c>
      <c r="AN29" s="111">
        <f>IF(AND(OR(E29=2,E29=0),G29=2,F29=1),J29,"")</f>
      </c>
      <c r="AO29" s="111">
        <f>IF(AND(OR(E29=2,E29=0),G29=3,F29=1),J29,"")</f>
      </c>
      <c r="AP29" s="111">
        <f>IF(AND(OR(E29=3,E29=0),G29=1,F29=0),J29,"")</f>
      </c>
      <c r="AQ29" s="111">
        <f>IF(AND(OR(E29=3,E29=0),G29=2,F29=0),J29,"")</f>
      </c>
      <c r="AR29" s="111">
        <f>IF(AND(OR(E29=3,E29=0),G29=3,F29=0),J29,"")</f>
      </c>
      <c r="AS29" s="111">
        <f>IF(AND(OR(E29=3,E29=0),G29=1,F29=1),J29,"")</f>
      </c>
      <c r="AT29" s="111">
        <f>IF(AND(OR(E29=3,E29=0),G29=2,F29=1),J29,"")</f>
      </c>
      <c r="AU29" s="111">
        <f>IF(AND(OR(E29=3,E29=0),G29=3,F29=1),J29,"")</f>
      </c>
    </row>
    <row customHeight="true" ht="19" r="30">
      <c r="A30" s="86" t="str">
        <v>まるで王子様みたいな（王子）</v>
      </c>
      <c r="B30" s="86" t="str"/>
      <c r="C30" s="86" t="str"/>
      <c r="D30" s="116">
        <f>持有情况!AA16-ROW()*1e-05</f>
      </c>
      <c r="E30" s="117">
        <v>0</v>
      </c>
      <c r="F30" s="116">
        <v>1</v>
      </c>
      <c r="G30" s="116">
        <v>3</v>
      </c>
      <c r="H30" s="116">
        <v>1</v>
      </c>
      <c r="I30" s="111" t="str">
        <v>王子</v>
      </c>
      <c r="J30" s="116">
        <f>INT(60+17*路线!B18+3*路线!B24+40)-ROW()*1e-05</f>
      </c>
      <c r="K30" s="1" t="str"/>
      <c r="L30" s="111">
        <f>IF(AND(OR(E30=1,E30=0),G30=1),D30,"")</f>
      </c>
      <c r="M30" s="111">
        <f>IF(AND(OR(E30=2,E30=0),G30=1),D30,"")</f>
      </c>
      <c r="N30" s="111">
        <f>IF(AND(OR(E30=3,E30=0),G30=1),D30,"")</f>
      </c>
      <c r="O30" s="111">
        <f>IF(AND(OR(E30=1,E30=0),G30=2),D30,"")</f>
      </c>
      <c r="P30" s="111">
        <f>IF(AND(OR(E30=2,E30=0),G30=2),D30,"")</f>
      </c>
      <c r="Q30" s="111">
        <f>IF(AND(OR(E30=3,E30=0),G30=2),D30,"")</f>
      </c>
      <c r="R30" s="111">
        <f>IF(AND(OR(E30=1,E30=0),G30=3),D30,"")</f>
      </c>
      <c r="S30" s="111">
        <f>IF(AND(OR(E30=2,E30=0),G30=3),D30,"")</f>
      </c>
      <c r="T30" s="111">
        <f>IF(AND(OR(E30=3,E30=0),G30=3),D30,"")</f>
      </c>
      <c r="U30" s="111">
        <f>IF(AND(OR(E30=1,E30=0),G30=1,F30=1),D30,"")</f>
      </c>
      <c r="V30" s="111">
        <f>IF(AND(OR(E30=1,E30=0),G30=2,F30=1),D30,"")</f>
      </c>
      <c r="W30" s="111">
        <f>IF(AND(OR(E30=1,E30=0),G30=3,F30=1),D30,"")</f>
      </c>
      <c r="X30" s="111">
        <f>IF(AND(OR(E30=2,E30=0),G30=1,F30=1),D30,"")</f>
      </c>
      <c r="Y30" s="111">
        <f>IF(AND(OR(E30=2,E30=0),G30=2,F30=1),D30,"")</f>
      </c>
      <c r="Z30" s="111">
        <f>IF(AND(OR(E30=2,E30=0),G30=3,F30=1),D30,"")</f>
      </c>
      <c r="AA30" s="111">
        <f>IF(AND(OR(E30=3,E30=0),G30=1,F30=1),D30,"")</f>
      </c>
      <c r="AB30" s="111">
        <f>IF(AND(OR(E30=3,E30=0),G30=2,F30=1),D30,"")</f>
      </c>
      <c r="AC30" s="111">
        <f>IF(AND(OR(E30=3,E30=0),G30=3,F30=1),D30,"")</f>
      </c>
      <c r="AD30" s="111">
        <f>IF(AND(OR(E30=1,E30=0),G30=1,F30=0),J30,"")</f>
      </c>
      <c r="AE30" s="111">
        <f>IF(AND(OR(E30=1,E30=0),G30=2,F30=0),J30,"")</f>
      </c>
      <c r="AF30" s="111">
        <f>IF(AND(OR(E30=1,E30=0),G30=3,F30=0),J30,"")</f>
      </c>
      <c r="AG30" s="111">
        <f>IF(AND(OR(E30=1,E30=0),G30=1,F30=1),J30,"")</f>
      </c>
      <c r="AH30" s="111">
        <f>IF(AND(OR(E30=1,E30=0),G30=2,F30=1),J30,"")</f>
      </c>
      <c r="AI30" s="111">
        <f>IF(AND(OR(E30=1,E30=0),G30=3,F30=1),J30,"")</f>
      </c>
      <c r="AJ30" s="111">
        <f>IF(AND(OR(E30=2,E30=0),G30=1,F30=0),J30,"")</f>
      </c>
      <c r="AK30" s="111">
        <f>IF(AND(OR(E30=2,E30=0),G30=2,F30=0),J30,"")</f>
      </c>
      <c r="AL30" s="111">
        <f>IF(AND(OR(E30=2,E30=0),G30=3,F30=0),J30,"")</f>
      </c>
      <c r="AM30" s="111">
        <f>IF(AND(OR(E30=2,E30=0),G30=1,F30=1),J30,"")</f>
      </c>
      <c r="AN30" s="111">
        <f>IF(AND(OR(E30=2,E30=0),G30=2,F30=1),J30,"")</f>
      </c>
      <c r="AO30" s="111">
        <f>IF(AND(OR(E30=2,E30=0),G30=3,F30=1),J30,"")</f>
      </c>
      <c r="AP30" s="111">
        <f>IF(AND(OR(E30=3,E30=0),G30=1,F30=0),J30,"")</f>
      </c>
      <c r="AQ30" s="111">
        <f>IF(AND(OR(E30=3,E30=0),G30=2,F30=0),J30,"")</f>
      </c>
      <c r="AR30" s="111">
        <f>IF(AND(OR(E30=3,E30=0),G30=3,F30=0),J30,"")</f>
      </c>
      <c r="AS30" s="111">
        <f>IF(AND(OR(E30=3,E30=0),G30=1,F30=1),J30,"")</f>
      </c>
      <c r="AT30" s="111">
        <f>IF(AND(OR(E30=3,E30=0),G30=2,F30=1),J30,"")</f>
      </c>
      <c r="AU30" s="111">
        <f>IF(AND(OR(E30=3,E30=0),G30=3,F30=1),J30,"")</f>
      </c>
    </row>
    <row customHeight="true" ht="19" r="31">
      <c r="A31" s="86" t="str">
        <v>さみだれ（公交车站）</v>
      </c>
      <c r="B31" s="86" t="str"/>
      <c r="C31" s="86" t="str"/>
      <c r="D31" s="116">
        <f>持有情况!AA82-ROW()*1e-05</f>
      </c>
      <c r="E31" s="116">
        <v>3</v>
      </c>
      <c r="F31" s="117">
        <v>0</v>
      </c>
      <c r="G31" s="116">
        <v>3</v>
      </c>
      <c r="H31" s="116">
        <v>1</v>
      </c>
      <c r="I31" s="111" t="str">
        <v>公交车站</v>
      </c>
      <c r="J31" s="116">
        <f>IF(路线!C6="计算",INT(路线!B12*(8.5/100)+7*路线!B29+13*路线!B18+40+20)-ROW()*1e-05,INT(路线!B12*(8.5/100)+7*路线!B29+13*路线!B18+40)-ROW()*1e-05)</f>
      </c>
      <c r="K31" s="1" t="str"/>
      <c r="L31" s="111">
        <f>IF(AND(OR(E31=1,E31=0),G31=1),D31,"")</f>
      </c>
      <c r="M31" s="111">
        <f>IF(AND(OR(E31=2,E31=0),G31=1),D31,"")</f>
      </c>
      <c r="N31" s="111">
        <f>IF(AND(OR(E31=3,E31=0),G31=1),D31,"")</f>
      </c>
      <c r="O31" s="111">
        <f>IF(AND(OR(E31=1,E31=0),G31=2),D31,"")</f>
      </c>
      <c r="P31" s="111">
        <f>IF(AND(OR(E31=2,E31=0),G31=2),D31,"")</f>
      </c>
      <c r="Q31" s="111">
        <f>IF(AND(OR(E31=3,E31=0),G31=2),D31,"")</f>
      </c>
      <c r="R31" s="111">
        <f>IF(AND(OR(E31=1,E31=0),G31=3),D31,"")</f>
      </c>
      <c r="S31" s="111">
        <f>IF(AND(OR(E31=2,E31=0),G31=3),D31,"")</f>
      </c>
      <c r="T31" s="111">
        <f>IF(AND(OR(E31=3,E31=0),G31=3),D31,"")</f>
      </c>
      <c r="U31" s="111">
        <f>IF(AND(OR(E31=1,E31=0),G31=1,F31=1),D31,"")</f>
      </c>
      <c r="V31" s="111">
        <f>IF(AND(OR(E31=1,E31=0),G31=2,F31=1),D31,"")</f>
      </c>
      <c r="W31" s="111">
        <f>IF(AND(OR(E31=1,E31=0),G31=3,F31=1),D31,"")</f>
      </c>
      <c r="X31" s="111">
        <f>IF(AND(OR(E31=2,E31=0),G31=1,F31=1),D31,"")</f>
      </c>
      <c r="Y31" s="111">
        <f>IF(AND(OR(E31=2,E31=0),G31=2,F31=1),D31,"")</f>
      </c>
      <c r="Z31" s="111">
        <f>IF(AND(OR(E31=2,E31=0),G31=3,F31=1),D31,"")</f>
      </c>
      <c r="AA31" s="111">
        <f>IF(AND(OR(E31=3,E31=0),G31=1,F31=1),D31,"")</f>
      </c>
      <c r="AB31" s="111">
        <f>IF(AND(OR(E31=3,E31=0),G31=2,F31=1),D31,"")</f>
      </c>
      <c r="AC31" s="111">
        <f>IF(AND(OR(E31=3,E31=0),G31=3,F31=1),D31,"")</f>
      </c>
      <c r="AD31" s="111">
        <f>IF(AND(OR(E31=1,E31=0),G31=1,F31=0),J31,"")</f>
      </c>
      <c r="AE31" s="111">
        <f>IF(AND(OR(E31=1,E31=0),G31=2,F31=0),J31,"")</f>
      </c>
      <c r="AF31" s="111">
        <f>IF(AND(OR(E31=1,E31=0),G31=3,F31=0),J31,"")</f>
      </c>
      <c r="AG31" s="111">
        <f>IF(AND(OR(E31=1,E31=0),G31=1,F31=1),J31,"")</f>
      </c>
      <c r="AH31" s="111">
        <f>IF(AND(OR(E31=1,E31=0),G31=2,F31=1),J31,"")</f>
      </c>
      <c r="AI31" s="111">
        <f>IF(AND(OR(E31=1,E31=0),G31=3,F31=1),J31,"")</f>
      </c>
      <c r="AJ31" s="111">
        <f>IF(AND(OR(E31=2,E31=0),G31=1,F31=0),J31,"")</f>
      </c>
      <c r="AK31" s="111">
        <f>IF(AND(OR(E31=2,E31=0),G31=2,F31=0),J31,"")</f>
      </c>
      <c r="AL31" s="111">
        <f>IF(AND(OR(E31=2,E31=0),G31=3,F31=0),J31,"")</f>
      </c>
      <c r="AM31" s="111">
        <f>IF(AND(OR(E31=2,E31=0),G31=1,F31=1),J31,"")</f>
      </c>
      <c r="AN31" s="111">
        <f>IF(AND(OR(E31=2,E31=0),G31=2,F31=1),J31,"")</f>
      </c>
      <c r="AO31" s="111">
        <f>IF(AND(OR(E31=2,E31=0),G31=3,F31=1),J31,"")</f>
      </c>
      <c r="AP31" s="111">
        <f>IF(AND(OR(E31=3,E31=0),G31=1,F31=0),J31,"")</f>
      </c>
      <c r="AQ31" s="111">
        <f>IF(AND(OR(E31=3,E31=0),G31=2,F31=0),J31,"")</f>
      </c>
      <c r="AR31" s="111">
        <f>IF(AND(OR(E31=3,E31=0),G31=3,F31=0),J31,"")</f>
      </c>
      <c r="AS31" s="111">
        <f>IF(AND(OR(E31=3,E31=0),G31=1,F31=1),J31,"")</f>
      </c>
      <c r="AT31" s="111">
        <f>IF(AND(OR(E31=3,E31=0),G31=2,F31=1),J31,"")</f>
      </c>
      <c r="AU31" s="111">
        <f>IF(AND(OR(E31=3,E31=0),G31=3,F31=1),J31,"")</f>
      </c>
    </row>
    <row customHeight="true" ht="19" r="32">
      <c r="A32" s="75" t="str">
        <v>夏を楽しみましょう！（红购物）</v>
      </c>
      <c r="B32" s="75" t="str"/>
      <c r="C32" s="75" t="str"/>
      <c r="D32" s="116">
        <f>持有情况!G52-ROW()*1e-05</f>
      </c>
      <c r="E32" s="116">
        <v>1</v>
      </c>
      <c r="F32" s="117">
        <v>0</v>
      </c>
      <c r="G32" s="116">
        <v>1</v>
      </c>
      <c r="H32" s="116">
        <v>1</v>
      </c>
      <c r="I32" s="111" t="str">
        <v>红购物</v>
      </c>
      <c r="J32" s="116">
        <f>INT((8.5/100)*路线!B12+17*路线!B18+11*路线!B39+40)-ROW()*1e-05</f>
      </c>
      <c r="K32" s="1" t="str"/>
      <c r="L32" s="111">
        <f>IF(AND(OR(E32=1,E32=0),G32=1),D32,"")</f>
      </c>
      <c r="M32" s="111">
        <f>IF(AND(OR(E32=2,E32=0),G32=1),D32,"")</f>
      </c>
      <c r="N32" s="111">
        <f>IF(AND(OR(E32=3,E32=0),G32=1),D32,"")</f>
      </c>
      <c r="O32" s="111">
        <f>IF(AND(OR(E32=1,E32=0),G32=2),D32,"")</f>
      </c>
      <c r="P32" s="111">
        <f>IF(AND(OR(E32=2,E32=0),G32=2),D32,"")</f>
      </c>
      <c r="Q32" s="111">
        <f>IF(AND(OR(E32=3,E32=0),G32=2),D32,"")</f>
      </c>
      <c r="R32" s="111">
        <f>IF(AND(OR(E32=1,E32=0),G32=3),D32,"")</f>
      </c>
      <c r="S32" s="111">
        <f>IF(AND(OR(E32=2,E32=0),G32=3),D32,"")</f>
      </c>
      <c r="T32" s="111">
        <f>IF(AND(OR(E32=3,E32=0),G32=3),D32,"")</f>
      </c>
      <c r="U32" s="111">
        <f>IF(AND(OR(E32=1,E32=0),G32=1,F32=1),D32,"")</f>
      </c>
      <c r="V32" s="111">
        <f>IF(AND(OR(E32=1,E32=0),G32=2,F32=1),D32,"")</f>
      </c>
      <c r="W32" s="111">
        <f>IF(AND(OR(E32=1,E32=0),G32=3,F32=1),D32,"")</f>
      </c>
      <c r="X32" s="111">
        <f>IF(AND(OR(E32=2,E32=0),G32=1,F32=1),D32,"")</f>
      </c>
      <c r="Y32" s="111">
        <f>IF(AND(OR(E32=2,E32=0),G32=2,F32=1),D32,"")</f>
      </c>
      <c r="Z32" s="111">
        <f>IF(AND(OR(E32=2,E32=0),G32=3,F32=1),D32,"")</f>
      </c>
      <c r="AA32" s="111">
        <f>IF(AND(OR(E32=3,E32=0),G32=1,F32=1),D32,"")</f>
      </c>
      <c r="AB32" s="111">
        <f>IF(AND(OR(E32=3,E32=0),G32=2,F32=1),D32,"")</f>
      </c>
      <c r="AC32" s="111">
        <f>IF(AND(OR(E32=3,E32=0),G32=3,F32=1),D32,"")</f>
      </c>
      <c r="AD32" s="111">
        <f>IF(AND(OR(E32=1,E32=0),G32=1,F32=0),J32,"")</f>
      </c>
      <c r="AE32" s="111">
        <f>IF(AND(OR(E32=1,E32=0),G32=2,F32=0),J32,"")</f>
      </c>
      <c r="AF32" s="111">
        <f>IF(AND(OR(E32=1,E32=0),G32=3,F32=0),J32,"")</f>
      </c>
      <c r="AG32" s="111">
        <f>IF(AND(OR(E32=1,E32=0),G32=1,F32=1),J32,"")</f>
      </c>
      <c r="AH32" s="111">
        <f>IF(AND(OR(E32=1,E32=0),G32=2,F32=1),J32,"")</f>
      </c>
      <c r="AI32" s="111">
        <f>IF(AND(OR(E32=1,E32=0),G32=3,F32=1),J32,"")</f>
      </c>
      <c r="AJ32" s="111">
        <f>IF(AND(OR(E32=2,E32=0),G32=1,F32=0),J32,"")</f>
      </c>
      <c r="AK32" s="111">
        <f>IF(AND(OR(E32=2,E32=0),G32=2,F32=0),J32,"")</f>
      </c>
      <c r="AL32" s="111">
        <f>IF(AND(OR(E32=2,E32=0),G32=3,F32=0),J32,"")</f>
      </c>
      <c r="AM32" s="111">
        <f>IF(AND(OR(E32=2,E32=0),G32=1,F32=1),J32,"")</f>
      </c>
      <c r="AN32" s="111">
        <f>IF(AND(OR(E32=2,E32=0),G32=2,F32=1),J32,"")</f>
      </c>
      <c r="AO32" s="111">
        <f>IF(AND(OR(E32=2,E32=0),G32=3,F32=1),J32,"")</f>
      </c>
      <c r="AP32" s="111">
        <f>IF(AND(OR(E32=3,E32=0),G32=1,F32=0),J32,"")</f>
      </c>
      <c r="AQ32" s="111">
        <f>IF(AND(OR(E32=3,E32=0),G32=2,F32=0),J32,"")</f>
      </c>
      <c r="AR32" s="111">
        <f>IF(AND(OR(E32=3,E32=0),G32=3,F32=0),J32,"")</f>
      </c>
      <c r="AS32" s="111">
        <f>IF(AND(OR(E32=3,E32=0),G32=1,F32=1),J32,"")</f>
      </c>
      <c r="AT32" s="111">
        <f>IF(AND(OR(E32=3,E32=0),G32=2,F32=1),J32,"")</f>
      </c>
      <c r="AU32" s="111">
        <f>IF(AND(OR(E32=3,E32=0),G32=3,F32=1),J32,"")</f>
      </c>
    </row>
    <row customHeight="true" ht="19" r="33">
      <c r="A33" s="99" t="str">
        <v>もうっ！　冷たいよ！（蓝喷水）</v>
      </c>
      <c r="B33" s="99" t="str"/>
      <c r="C33" s="99" t="str"/>
      <c r="D33" s="116">
        <f>持有情况!Q40-ROW()*1e-05</f>
      </c>
      <c r="E33" s="116">
        <v>2</v>
      </c>
      <c r="F33" s="116">
        <v>1</v>
      </c>
      <c r="G33" s="116">
        <v>2</v>
      </c>
      <c r="H33" s="116">
        <v>1</v>
      </c>
      <c r="I33" s="111" t="str">
        <v>蓝喷水</v>
      </c>
      <c r="J33" s="116">
        <f>INT(60+17*路线!B18+22+40)-ROW()*1e-05</f>
      </c>
      <c r="K33" s="1" t="str"/>
      <c r="L33" s="111">
        <f>IF(AND(OR(E33=1,E33=0),G33=1),D33,"")</f>
      </c>
      <c r="M33" s="111">
        <f>IF(AND(OR(E33=2,E33=0),G33=1),D33,"")</f>
      </c>
      <c r="N33" s="111">
        <f>IF(AND(OR(E33=3,E33=0),G33=1),D33,"")</f>
      </c>
      <c r="O33" s="111">
        <f>IF(AND(OR(E33=1,E33=0),G33=2),D33,"")</f>
      </c>
      <c r="P33" s="111">
        <f>IF(AND(OR(E33=2,E33=0),G33=2),D33,"")</f>
      </c>
      <c r="Q33" s="111">
        <f>IF(AND(OR(E33=3,E33=0),G33=2),D33,"")</f>
      </c>
      <c r="R33" s="111">
        <f>IF(AND(OR(E33=1,E33=0),G33=3),D33,"")</f>
      </c>
      <c r="S33" s="111">
        <f>IF(AND(OR(E33=2,E33=0),G33=3),D33,"")</f>
      </c>
      <c r="T33" s="111">
        <f>IF(AND(OR(E33=3,E33=0),G33=3),D33,"")</f>
      </c>
      <c r="U33" s="111">
        <f>IF(AND(OR(E33=1,E33=0),G33=1,F33=1),D33,"")</f>
      </c>
      <c r="V33" s="111">
        <f>IF(AND(OR(E33=1,E33=0),G33=2,F33=1),D33,"")</f>
      </c>
      <c r="W33" s="111">
        <f>IF(AND(OR(E33=1,E33=0),G33=3,F33=1),D33,"")</f>
      </c>
      <c r="X33" s="111">
        <f>IF(AND(OR(E33=2,E33=0),G33=1,F33=1),D33,"")</f>
      </c>
      <c r="Y33" s="111">
        <f>IF(AND(OR(E33=2,E33=0),G33=2,F33=1),D33,"")</f>
      </c>
      <c r="Z33" s="111">
        <f>IF(AND(OR(E33=2,E33=0),G33=3,F33=1),D33,"")</f>
      </c>
      <c r="AA33" s="111">
        <f>IF(AND(OR(E33=3,E33=0),G33=1,F33=1),D33,"")</f>
      </c>
      <c r="AB33" s="111">
        <f>IF(AND(OR(E33=3,E33=0),G33=2,F33=1),D33,"")</f>
      </c>
      <c r="AC33" s="111">
        <f>IF(AND(OR(E33=3,E33=0),G33=3,F33=1),D33,"")</f>
      </c>
      <c r="AD33" s="111">
        <f>IF(AND(OR(E33=1,E33=0),G33=1,F33=0),J33,"")</f>
      </c>
      <c r="AE33" s="111">
        <f>IF(AND(OR(E33=1,E33=0),G33=2,F33=0),J33,"")</f>
      </c>
      <c r="AF33" s="111">
        <f>IF(AND(OR(E33=1,E33=0),G33=3,F33=0),J33,"")</f>
      </c>
      <c r="AG33" s="111">
        <f>IF(AND(OR(E33=1,E33=0),G33=1,F33=1),J33,"")</f>
      </c>
      <c r="AH33" s="111">
        <f>IF(AND(OR(E33=1,E33=0),G33=2,F33=1),J33,"")</f>
      </c>
      <c r="AI33" s="111">
        <f>IF(AND(OR(E33=1,E33=0),G33=3,F33=1),J33,"")</f>
      </c>
      <c r="AJ33" s="111">
        <f>IF(AND(OR(E33=2,E33=0),G33=1,F33=0),J33,"")</f>
      </c>
      <c r="AK33" s="111">
        <f>IF(AND(OR(E33=2,E33=0),G33=2,F33=0),J33,"")</f>
      </c>
      <c r="AL33" s="111">
        <f>IF(AND(OR(E33=2,E33=0),G33=3,F33=0),J33,"")</f>
      </c>
      <c r="AM33" s="111">
        <f>IF(AND(OR(E33=2,E33=0),G33=1,F33=1),J33,"")</f>
      </c>
      <c r="AN33" s="111">
        <f>IF(AND(OR(E33=2,E33=0),G33=2,F33=1),J33,"")</f>
      </c>
      <c r="AO33" s="111">
        <f>IF(AND(OR(E33=2,E33=0),G33=3,F33=1),J33,"")</f>
      </c>
      <c r="AP33" s="111">
        <f>IF(AND(OR(E33=3,E33=0),G33=1,F33=0),J33,"")</f>
      </c>
      <c r="AQ33" s="111">
        <f>IF(AND(OR(E33=3,E33=0),G33=2,F33=0),J33,"")</f>
      </c>
      <c r="AR33" s="111">
        <f>IF(AND(OR(E33=3,E33=0),G33=3,F33=0),J33,"")</f>
      </c>
      <c r="AS33" s="111">
        <f>IF(AND(OR(E33=3,E33=0),G33=1,F33=1),J33,"")</f>
      </c>
      <c r="AT33" s="111">
        <f>IF(AND(OR(E33=3,E33=0),G33=2,F33=1),J33,"")</f>
      </c>
      <c r="AU33" s="111">
        <f>IF(AND(OR(E33=3,E33=0),G33=3,F33=1),J33,"")</f>
      </c>
    </row>
    <row customHeight="true" ht="19" r="34">
      <c r="A34" s="99" t="str">
        <v>おいしい顔、いただき～！（蓝拍照）</v>
      </c>
      <c r="B34" s="99" t="str"/>
      <c r="C34" s="99" t="str"/>
      <c r="D34" s="116">
        <f>持有情况!Q22-ROW()*1e-05</f>
      </c>
      <c r="E34" s="117">
        <v>0</v>
      </c>
      <c r="F34" s="116">
        <v>1</v>
      </c>
      <c r="G34" s="116">
        <v>2</v>
      </c>
      <c r="H34" s="116">
        <v>1</v>
      </c>
      <c r="I34" s="111" t="str">
        <v>蓝拍照</v>
      </c>
      <c r="J34" s="116">
        <f>IF(路线!C6="计算",INT(60+17*路线!B18+4*(路线!B28+路线!B29)+40+20)-ROW()*1e-05,INT(60+17*路线!B18+4*(路线!B28+路线!B29)+40)-ROW()*1e-05)</f>
      </c>
      <c r="K34" s="1" t="str"/>
      <c r="L34" s="111">
        <f>IF(AND(OR(E34=1,E34=0),G34=1),D34,"")</f>
      </c>
      <c r="M34" s="111">
        <f>IF(AND(OR(E34=2,E34=0),G34=1),D34,"")</f>
      </c>
      <c r="N34" s="111">
        <f>IF(AND(OR(E34=3,E34=0),G34=1),D34,"")</f>
      </c>
      <c r="O34" s="111">
        <f>IF(AND(OR(E34=1,E34=0),G34=2),D34,"")</f>
      </c>
      <c r="P34" s="111">
        <f>IF(AND(OR(E34=2,E34=0),G34=2),D34,"")</f>
      </c>
      <c r="Q34" s="111">
        <f>IF(AND(OR(E34=3,E34=0),G34=2),D34,"")</f>
      </c>
      <c r="R34" s="111">
        <f>IF(AND(OR(E34=1,E34=0),G34=3),D34,"")</f>
      </c>
      <c r="S34" s="111">
        <f>IF(AND(OR(E34=2,E34=0),G34=3),D34,"")</f>
      </c>
      <c r="T34" s="111">
        <f>IF(AND(OR(E34=3,E34=0),G34=3),D34,"")</f>
      </c>
      <c r="U34" s="111">
        <f>IF(AND(OR(E34=1,E34=0),G34=1,F34=1),D34,"")</f>
      </c>
      <c r="V34" s="111">
        <f>IF(AND(OR(E34=1,E34=0),G34=2,F34=1),D34,"")</f>
      </c>
      <c r="W34" s="111">
        <f>IF(AND(OR(E34=1,E34=0),G34=3,F34=1),D34,"")</f>
      </c>
      <c r="X34" s="111">
        <f>IF(AND(OR(E34=2,E34=0),G34=1,F34=1),D34,"")</f>
      </c>
      <c r="Y34" s="111">
        <f>IF(AND(OR(E34=2,E34=0),G34=2,F34=1),D34,"")</f>
      </c>
      <c r="Z34" s="111">
        <f>IF(AND(OR(E34=2,E34=0),G34=3,F34=1),D34,"")</f>
      </c>
      <c r="AA34" s="111">
        <f>IF(AND(OR(E34=3,E34=0),G34=1,F34=1),D34,"")</f>
      </c>
      <c r="AB34" s="111">
        <f>IF(AND(OR(E34=3,E34=0),G34=2,F34=1),D34,"")</f>
      </c>
      <c r="AC34" s="111">
        <f>IF(AND(OR(E34=3,E34=0),G34=3,F34=1),D34,"")</f>
      </c>
      <c r="AD34" s="111">
        <f>IF(AND(OR(E34=1,E34=0),G34=1,F34=0),J34,"")</f>
      </c>
      <c r="AE34" s="111">
        <f>IF(AND(OR(E34=1,E34=0),G34=2,F34=0),J34,"")</f>
      </c>
      <c r="AF34" s="111">
        <f>IF(AND(OR(E34=1,E34=0),G34=3,F34=0),J34,"")</f>
      </c>
      <c r="AG34" s="111">
        <f>IF(AND(OR(E34=1,E34=0),G34=1,F34=1),J34,"")</f>
      </c>
      <c r="AH34" s="111">
        <f>IF(AND(OR(E34=1,E34=0),G34=2,F34=1),J34,"")</f>
      </c>
      <c r="AI34" s="111">
        <f>IF(AND(OR(E34=1,E34=0),G34=3,F34=1),J34,"")</f>
      </c>
      <c r="AJ34" s="111">
        <f>IF(AND(OR(E34=2,E34=0),G34=1,F34=0),J34,"")</f>
      </c>
      <c r="AK34" s="111">
        <f>IF(AND(OR(E34=2,E34=0),G34=2,F34=0),J34,"")</f>
      </c>
      <c r="AL34" s="111">
        <f>IF(AND(OR(E34=2,E34=0),G34=3,F34=0),J34,"")</f>
      </c>
      <c r="AM34" s="111">
        <f>IF(AND(OR(E34=2,E34=0),G34=1,F34=1),J34,"")</f>
      </c>
      <c r="AN34" s="111">
        <f>IF(AND(OR(E34=2,E34=0),G34=2,F34=1),J34,"")</f>
      </c>
      <c r="AO34" s="111">
        <f>IF(AND(OR(E34=2,E34=0),G34=3,F34=1),J34,"")</f>
      </c>
      <c r="AP34" s="111">
        <f>IF(AND(OR(E34=3,E34=0),G34=1,F34=0),J34,"")</f>
      </c>
      <c r="AQ34" s="111">
        <f>IF(AND(OR(E34=3,E34=0),G34=2,F34=0),J34,"")</f>
      </c>
      <c r="AR34" s="111">
        <f>IF(AND(OR(E34=3,E34=0),G34=3,F34=0),J34,"")</f>
      </c>
      <c r="AS34" s="111">
        <f>IF(AND(OR(E34=3,E34=0),G34=1,F34=1),J34,"")</f>
      </c>
      <c r="AT34" s="111">
        <f>IF(AND(OR(E34=3,E34=0),G34=2,F34=1),J34,"")</f>
      </c>
      <c r="AU34" s="111">
        <f>IF(AND(OR(E34=3,E34=0),G34=3,F34=1),J34,"")</f>
      </c>
    </row>
    <row customHeight="true" ht="19" r="35">
      <c r="A35" s="75" t="str">
        <v>愛無き暗記は難しい（永年）</v>
      </c>
      <c r="B35" s="75" t="str"/>
      <c r="C35" s="75" t="str"/>
      <c r="D35" s="116">
        <f>IF(路线!B4="计算",持有情况!AM17,持有情况!AK16)-ROW()*1e-05</f>
      </c>
      <c r="E35" s="117">
        <v>0</v>
      </c>
      <c r="F35" s="117">
        <v>0</v>
      </c>
      <c r="G35" s="116">
        <v>1</v>
      </c>
      <c r="H35" s="117">
        <v>0</v>
      </c>
      <c r="I35" s="1" t="str"/>
      <c r="J35" s="116">
        <f>IF(路线!B4="计算",INT(45+5*路线!B30+13*路线!B19+30+持有情况!AM15),INT(45+5*路线!B30+13*路线!B19+30))-ROW()*1e-05</f>
      </c>
      <c r="K35" s="1" t="str"/>
      <c r="L35" s="111">
        <f>IF(AND(OR(E35=1,E35=0),G35=1),D35,"")</f>
      </c>
      <c r="M35" s="111">
        <f>IF(AND(OR(E35=2,E35=0),G35=1),D35,"")</f>
      </c>
      <c r="N35" s="111">
        <f>IF(AND(OR(E35=3,E35=0),G35=1),D35,"")</f>
      </c>
      <c r="O35" s="111">
        <f>IF(AND(OR(E35=1,E35=0),G35=2),D35,"")</f>
      </c>
      <c r="P35" s="111">
        <f>IF(AND(OR(E35=2,E35=0),G35=2),D35,"")</f>
      </c>
      <c r="Q35" s="111">
        <f>IF(AND(OR(E35=3,E35=0),G35=2),D35,"")</f>
      </c>
      <c r="R35" s="111">
        <f>IF(AND(OR(E35=1,E35=0),G35=3),D35,"")</f>
      </c>
      <c r="S35" s="111">
        <f>IF(AND(OR(E35=2,E35=0),G35=3),D35,"")</f>
      </c>
      <c r="T35" s="111">
        <f>IF(AND(OR(E35=3,E35=0),G35=3),D35,"")</f>
      </c>
      <c r="U35" s="111">
        <f>IF(AND(OR(E35=1,E35=0),G35=1,F35=1),D35,"")</f>
      </c>
      <c r="V35" s="111">
        <f>IF(AND(OR(E35=1,E35=0),G35=2,F35=1),D35,"")</f>
      </c>
      <c r="W35" s="111">
        <f>IF(AND(OR(E35=1,E35=0),G35=3,F35=1),D35,"")</f>
      </c>
      <c r="X35" s="111">
        <f>IF(AND(OR(E35=2,E35=0),G35=1,F35=1),D35,"")</f>
      </c>
      <c r="Y35" s="111">
        <f>IF(AND(OR(E35=2,E35=0),G35=2,F35=1),D35,"")</f>
      </c>
      <c r="Z35" s="111">
        <f>IF(AND(OR(E35=2,E35=0),G35=3,F35=1),D35,"")</f>
      </c>
      <c r="AA35" s="111">
        <f>IF(AND(OR(E35=3,E35=0),G35=1,F35=1),D35,"")</f>
      </c>
      <c r="AB35" s="111">
        <f>IF(AND(OR(E35=3,E35=0),G35=2,F35=1),D35,"")</f>
      </c>
      <c r="AC35" s="111">
        <f>IF(AND(OR(E35=3,E35=0),G35=3,F35=1),D35,"")</f>
      </c>
      <c r="AD35" s="111">
        <f>IF(AND(OR(E35=1,E35=0),G35=1,F35=0),J35,"")</f>
      </c>
      <c r="AE35" s="111">
        <f>IF(AND(OR(E35=1,E35=0),G35=2,F35=0),J35,"")</f>
      </c>
      <c r="AF35" s="111">
        <f>IF(AND(OR(E35=1,E35=0),G35=3,F35=0),J35,"")</f>
      </c>
      <c r="AG35" s="111">
        <f>IF(AND(OR(E35=1,E35=0),G35=1,F35=1),J35,"")</f>
      </c>
      <c r="AH35" s="111">
        <f>IF(AND(OR(E35=1,E35=0),G35=2,F35=1),J35,"")</f>
      </c>
      <c r="AI35" s="111">
        <f>IF(AND(OR(E35=1,E35=0),G35=3,F35=1),J35,"")</f>
      </c>
      <c r="AJ35" s="111">
        <f>IF(AND(OR(E35=2,E35=0),G35=1,F35=0),J35,"")</f>
      </c>
      <c r="AK35" s="111">
        <f>IF(AND(OR(E35=2,E35=0),G35=2,F35=0),J35,"")</f>
      </c>
      <c r="AL35" s="111">
        <f>IF(AND(OR(E35=2,E35=0),G35=3,F35=0),J35,"")</f>
      </c>
      <c r="AM35" s="111">
        <f>IF(AND(OR(E35=2,E35=0),G35=1,F35=1),J35,"")</f>
      </c>
      <c r="AN35" s="111">
        <f>IF(AND(OR(E35=2,E35=0),G35=2,F35=1),J35,"")</f>
      </c>
      <c r="AO35" s="111">
        <f>IF(AND(OR(E35=2,E35=0),G35=3,F35=1),J35,"")</f>
      </c>
      <c r="AP35" s="111">
        <f>IF(AND(OR(E35=3,E35=0),G35=1,F35=0),J35,"")</f>
      </c>
      <c r="AQ35" s="111">
        <f>IF(AND(OR(E35=3,E35=0),G35=2,F35=0),J35,"")</f>
      </c>
      <c r="AR35" s="111">
        <f>IF(AND(OR(E35=3,E35=0),G35=3,F35=0),J35,"")</f>
      </c>
      <c r="AS35" s="111">
        <f>IF(AND(OR(E35=3,E35=0),G35=1,F35=1),J35,"")</f>
      </c>
      <c r="AT35" s="111">
        <f>IF(AND(OR(E35=3,E35=0),G35=2,F35=1),J35,"")</f>
      </c>
      <c r="AU35" s="111">
        <f>IF(AND(OR(E35=3,E35=0),G35=3,F35=1),J35,"")</f>
      </c>
    </row>
    <row customHeight="true" ht="19" r="36">
      <c r="A36" s="99" t="str">
        <v>嬉し恥ずかし夢心地（姐姐百科）</v>
      </c>
      <c r="B36" s="99" t="str"/>
      <c r="C36" s="99" t="str"/>
      <c r="D36" s="116">
        <f>IF(路线!B4="计算",持有情况!AW11,持有情况!AU10)-ROW()*1e-05</f>
      </c>
      <c r="E36" s="117">
        <v>0</v>
      </c>
      <c r="F36" s="117">
        <v>0</v>
      </c>
      <c r="G36" s="116">
        <v>2</v>
      </c>
      <c r="H36" s="117">
        <v>0</v>
      </c>
      <c r="I36" s="1" t="str"/>
      <c r="J36" s="116">
        <f>IF(路线!B4="计算",INT(45+5*路线!B30+13*路线!B19+30+持有情况!AM15),INT(45+5*路线!B30+13*路线!B19+30))-ROW()*1e-05</f>
      </c>
      <c r="K36" s="1" t="str"/>
      <c r="L36" s="111">
        <f>IF(AND(OR(E36=1,E36=0),G36=1),D36,"")</f>
      </c>
      <c r="M36" s="111">
        <f>IF(AND(OR(E36=2,E36=0),G36=1),D36,"")</f>
      </c>
      <c r="N36" s="111">
        <f>IF(AND(OR(E36=3,E36=0),G36=1),D36,"")</f>
      </c>
      <c r="O36" s="111">
        <f>IF(AND(OR(E36=1,E36=0),G36=2),D36,"")</f>
      </c>
      <c r="P36" s="111">
        <f>IF(AND(OR(E36=2,E36=0),G36=2),D36,"")</f>
      </c>
      <c r="Q36" s="111">
        <f>IF(AND(OR(E36=3,E36=0),G36=2),D36,"")</f>
      </c>
      <c r="R36" s="111">
        <f>IF(AND(OR(E36=1,E36=0),G36=3),D36,"")</f>
      </c>
      <c r="S36" s="111">
        <f>IF(AND(OR(E36=2,E36=0),G36=3),D36,"")</f>
      </c>
      <c r="T36" s="111">
        <f>IF(AND(OR(E36=3,E36=0),G36=3),D36,"")</f>
      </c>
      <c r="U36" s="111">
        <f>IF(AND(OR(E36=1,E36=0),G36=1,F36=1),D36,"")</f>
      </c>
      <c r="V36" s="111">
        <f>IF(AND(OR(E36=1,E36=0),G36=2,F36=1),D36,"")</f>
      </c>
      <c r="W36" s="111">
        <f>IF(AND(OR(E36=1,E36=0),G36=3,F36=1),D36,"")</f>
      </c>
      <c r="X36" s="111">
        <f>IF(AND(OR(E36=2,E36=0),G36=1,F36=1),D36,"")</f>
      </c>
      <c r="Y36" s="111">
        <f>IF(AND(OR(E36=2,E36=0),G36=2,F36=1),D36,"")</f>
      </c>
      <c r="Z36" s="111">
        <f>IF(AND(OR(E36=2,E36=0),G36=3,F36=1),D36,"")</f>
      </c>
      <c r="AA36" s="111">
        <f>IF(AND(OR(E36=3,E36=0),G36=1,F36=1),D36,"")</f>
      </c>
      <c r="AB36" s="111">
        <f>IF(AND(OR(E36=3,E36=0),G36=2,F36=1),D36,"")</f>
      </c>
      <c r="AC36" s="111">
        <f>IF(AND(OR(E36=3,E36=0),G36=3,F36=1),D36,"")</f>
      </c>
      <c r="AD36" s="111">
        <f>IF(AND(OR(E36=1,E36=0),G36=1,F36=0),J36,"")</f>
      </c>
      <c r="AE36" s="111">
        <f>IF(AND(OR(E36=1,E36=0),G36=2,F36=0),J36,"")</f>
      </c>
      <c r="AF36" s="111">
        <f>IF(AND(OR(E36=1,E36=0),G36=3,F36=0),J36,"")</f>
      </c>
      <c r="AG36" s="111">
        <f>IF(AND(OR(E36=1,E36=0),G36=1,F36=1),J36,"")</f>
      </c>
      <c r="AH36" s="111">
        <f>IF(AND(OR(E36=1,E36=0),G36=2,F36=1),J36,"")</f>
      </c>
      <c r="AI36" s="111">
        <f>IF(AND(OR(E36=1,E36=0),G36=3,F36=1),J36,"")</f>
      </c>
      <c r="AJ36" s="111">
        <f>IF(AND(OR(E36=2,E36=0),G36=1,F36=0),J36,"")</f>
      </c>
      <c r="AK36" s="111">
        <f>IF(AND(OR(E36=2,E36=0),G36=2,F36=0),J36,"")</f>
      </c>
      <c r="AL36" s="111">
        <f>IF(AND(OR(E36=2,E36=0),G36=3,F36=0),J36,"")</f>
      </c>
      <c r="AM36" s="111">
        <f>IF(AND(OR(E36=2,E36=0),G36=1,F36=1),J36,"")</f>
      </c>
      <c r="AN36" s="111">
        <f>IF(AND(OR(E36=2,E36=0),G36=2,F36=1),J36,"")</f>
      </c>
      <c r="AO36" s="111">
        <f>IF(AND(OR(E36=2,E36=0),G36=3,F36=1),J36,"")</f>
      </c>
      <c r="AP36" s="111">
        <f>IF(AND(OR(E36=3,E36=0),G36=1,F36=0),J36,"")</f>
      </c>
      <c r="AQ36" s="111">
        <f>IF(AND(OR(E36=3,E36=0),G36=2,F36=0),J36,"")</f>
      </c>
      <c r="AR36" s="111">
        <f>IF(AND(OR(E36=3,E36=0),G36=3,F36=0),J36,"")</f>
      </c>
      <c r="AS36" s="111">
        <f>IF(AND(OR(E36=3,E36=0),G36=1,F36=1),J36,"")</f>
      </c>
      <c r="AT36" s="111">
        <f>IF(AND(OR(E36=3,E36=0),G36=2,F36=1),J36,"")</f>
      </c>
      <c r="AU36" s="111">
        <f>IF(AND(OR(E36=3,E36=0),G36=3,F36=1),J36,"")</f>
      </c>
    </row>
    <row customHeight="true" ht="19" r="37">
      <c r="A37" s="75" t="str">
        <v>はいっ、みんなも一緒に♪（fes3）</v>
      </c>
      <c r="B37" s="75" t="str"/>
      <c r="C37" s="75" t="str"/>
      <c r="D37" s="116">
        <f>持有情况!G82-ROW()*1e-05</f>
      </c>
      <c r="E37" s="116">
        <v>3</v>
      </c>
      <c r="F37" s="116">
        <v>1</v>
      </c>
      <c r="G37" s="116">
        <v>1</v>
      </c>
      <c r="H37" s="117">
        <v>0</v>
      </c>
      <c r="I37" s="1" t="str"/>
      <c r="J37" s="116">
        <f>INT((8.5/100)*路线!B12+15*路线!B31+40)-ROW()*1e-05</f>
      </c>
      <c r="K37" s="1" t="str"/>
      <c r="L37" s="111">
        <f>IF(AND(OR(E37=1,E37=0),G37=1),D37,"")</f>
      </c>
      <c r="M37" s="111">
        <f>IF(AND(OR(E37=2,E37=0),G37=1),D37,"")</f>
      </c>
      <c r="N37" s="111">
        <f>IF(AND(OR(E37=3,E37=0),G37=1),D37,"")</f>
      </c>
      <c r="O37" s="111">
        <f>IF(AND(OR(E37=1,E37=0),G37=2),D37,"")</f>
      </c>
      <c r="P37" s="111">
        <f>IF(AND(OR(E37=2,E37=0),G37=2),D37,"")</f>
      </c>
      <c r="Q37" s="111">
        <f>IF(AND(OR(E37=3,E37=0),G37=2),D37,"")</f>
      </c>
      <c r="R37" s="111">
        <f>IF(AND(OR(E37=1,E37=0),G37=3),D37,"")</f>
      </c>
      <c r="S37" s="111">
        <f>IF(AND(OR(E37=2,E37=0),G37=3),D37,"")</f>
      </c>
      <c r="T37" s="111">
        <f>IF(AND(OR(E37=3,E37=0),G37=3),D37,"")</f>
      </c>
      <c r="U37" s="111">
        <f>IF(AND(OR(E37=1,E37=0),G37=1,F37=1),D37,"")</f>
      </c>
      <c r="V37" s="111">
        <f>IF(AND(OR(E37=1,E37=0),G37=2,F37=1),D37,"")</f>
      </c>
      <c r="W37" s="111">
        <f>IF(AND(OR(E37=1,E37=0),G37=3,F37=1),D37,"")</f>
      </c>
      <c r="X37" s="111">
        <f>IF(AND(OR(E37=2,E37=0),G37=1,F37=1),D37,"")</f>
      </c>
      <c r="Y37" s="111">
        <f>IF(AND(OR(E37=2,E37=0),G37=2,F37=1),D37,"")</f>
      </c>
      <c r="Z37" s="111">
        <f>IF(AND(OR(E37=2,E37=0),G37=3,F37=1),D37,"")</f>
      </c>
      <c r="AA37" s="111">
        <f>IF(AND(OR(E37=3,E37=0),G37=1,F37=1),D37,"")</f>
      </c>
      <c r="AB37" s="111">
        <f>IF(AND(OR(E37=3,E37=0),G37=2,F37=1),D37,"")</f>
      </c>
      <c r="AC37" s="111">
        <f>IF(AND(OR(E37=3,E37=0),G37=3,F37=1),D37,"")</f>
      </c>
      <c r="AD37" s="111">
        <f>IF(AND(OR(E37=1,E37=0),G37=1,F37=0),J37,"")</f>
      </c>
      <c r="AE37" s="111">
        <f>IF(AND(OR(E37=1,E37=0),G37=2,F37=0),J37,"")</f>
      </c>
      <c r="AF37" s="111">
        <f>IF(AND(OR(E37=1,E37=0),G37=3,F37=0),J37,"")</f>
      </c>
      <c r="AG37" s="111">
        <f>IF(AND(OR(E37=1,E37=0),G37=1,F37=1),J37,"")</f>
      </c>
      <c r="AH37" s="111">
        <f>IF(AND(OR(E37=1,E37=0),G37=2,F37=1),J37,"")</f>
      </c>
      <c r="AI37" s="111">
        <f>IF(AND(OR(E37=1,E37=0),G37=3,F37=1),J37,"")</f>
      </c>
      <c r="AJ37" s="111">
        <f>IF(AND(OR(E37=2,E37=0),G37=1,F37=0),J37,"")</f>
      </c>
      <c r="AK37" s="111">
        <f>IF(AND(OR(E37=2,E37=0),G37=2,F37=0),J37,"")</f>
      </c>
      <c r="AL37" s="111">
        <f>IF(AND(OR(E37=2,E37=0),G37=3,F37=0),J37,"")</f>
      </c>
      <c r="AM37" s="111">
        <f>IF(AND(OR(E37=2,E37=0),G37=1,F37=1),J37,"")</f>
      </c>
      <c r="AN37" s="111">
        <f>IF(AND(OR(E37=2,E37=0),G37=2,F37=1),J37,"")</f>
      </c>
      <c r="AO37" s="111">
        <f>IF(AND(OR(E37=2,E37=0),G37=3,F37=1),J37,"")</f>
      </c>
      <c r="AP37" s="111">
        <f>IF(AND(OR(E37=3,E37=0),G37=1,F37=0),J37,"")</f>
      </c>
      <c r="AQ37" s="111">
        <f>IF(AND(OR(E37=3,E37=0),G37=2,F37=0),J37,"")</f>
      </c>
      <c r="AR37" s="111">
        <f>IF(AND(OR(E37=3,E37=0),G37=3,F37=0),J37,"")</f>
      </c>
      <c r="AS37" s="111">
        <f>IF(AND(OR(E37=3,E37=0),G37=1,F37=1),J37,"")</f>
      </c>
      <c r="AT37" s="111">
        <f>IF(AND(OR(E37=3,E37=0),G37=2,F37=1),J37,"")</f>
      </c>
      <c r="AU37" s="111">
        <f>IF(AND(OR(E37=3,E37=0),G37=3,F37=1),J37,"")</f>
      </c>
    </row>
    <row customHeight="true" ht="19" r="38">
      <c r="A38" s="99" t="str">
        <v>晴れたね（蓝睡）</v>
      </c>
      <c r="B38" s="99" t="str"/>
      <c r="C38" s="99" t="str"/>
      <c r="D38" s="116">
        <f>持有情况!Q34-ROW()*1e-05</f>
      </c>
      <c r="E38" s="117">
        <v>0</v>
      </c>
      <c r="F38" s="117">
        <v>0</v>
      </c>
      <c r="G38" s="116">
        <v>2</v>
      </c>
      <c r="H38" s="116">
        <v>1</v>
      </c>
      <c r="I38" s="111" t="str">
        <v>蓝睡</v>
      </c>
      <c r="J38" s="116">
        <f>INT((8.5/100)*路线!B12+22*路线!B32+15*路线!B31+40)-ROW()*1e-05</f>
      </c>
      <c r="K38" s="1" t="str"/>
      <c r="L38" s="111">
        <f>IF(AND(OR(E38=1,E38=0),G38=1),D38,"")</f>
      </c>
      <c r="M38" s="111">
        <f>IF(AND(OR(E38=2,E38=0),G38=1),D38,"")</f>
      </c>
      <c r="N38" s="111">
        <f>IF(AND(OR(E38=3,E38=0),G38=1),D38,"")</f>
      </c>
      <c r="O38" s="111">
        <f>IF(AND(OR(E38=1,E38=0),G38=2),D38,"")</f>
      </c>
      <c r="P38" s="111">
        <f>IF(AND(OR(E38=2,E38=0),G38=2),D38,"")</f>
      </c>
      <c r="Q38" s="111">
        <f>IF(AND(OR(E38=3,E38=0),G38=2),D38,"")</f>
      </c>
      <c r="R38" s="111">
        <f>IF(AND(OR(E38=1,E38=0),G38=3),D38,"")</f>
      </c>
      <c r="S38" s="111">
        <f>IF(AND(OR(E38=2,E38=0),G38=3),D38,"")</f>
      </c>
      <c r="T38" s="111">
        <f>IF(AND(OR(E38=3,E38=0),G38=3),D38,"")</f>
      </c>
      <c r="U38" s="111">
        <f>IF(AND(OR(E38=1,E38=0),G38=1,F38=1),D38,"")</f>
      </c>
      <c r="V38" s="111">
        <f>IF(AND(OR(E38=1,E38=0),G38=2,F38=1),D38,"")</f>
      </c>
      <c r="W38" s="111">
        <f>IF(AND(OR(E38=1,E38=0),G38=3,F38=1),D38,"")</f>
      </c>
      <c r="X38" s="111">
        <f>IF(AND(OR(E38=2,E38=0),G38=1,F38=1),D38,"")</f>
      </c>
      <c r="Y38" s="111">
        <f>IF(AND(OR(E38=2,E38=0),G38=2,F38=1),D38,"")</f>
      </c>
      <c r="Z38" s="111">
        <f>IF(AND(OR(E38=2,E38=0),G38=3,F38=1),D38,"")</f>
      </c>
      <c r="AA38" s="111">
        <f>IF(AND(OR(E38=3,E38=0),G38=1,F38=1),D38,"")</f>
      </c>
      <c r="AB38" s="111">
        <f>IF(AND(OR(E38=3,E38=0),G38=2,F38=1),D38,"")</f>
      </c>
      <c r="AC38" s="111">
        <f>IF(AND(OR(E38=3,E38=0),G38=3,F38=1),D38,"")</f>
      </c>
      <c r="AD38" s="111">
        <f>IF(AND(OR(E38=1,E38=0),G38=1,F38=0),J38,"")</f>
      </c>
      <c r="AE38" s="111">
        <f>IF(AND(OR(E38=1,E38=0),G38=2,F38=0),J38,"")</f>
      </c>
      <c r="AF38" s="111">
        <f>IF(AND(OR(E38=1,E38=0),G38=3,F38=0),J38,"")</f>
      </c>
      <c r="AG38" s="111">
        <f>IF(AND(OR(E38=1,E38=0),G38=1,F38=1),J38,"")</f>
      </c>
      <c r="AH38" s="111">
        <f>IF(AND(OR(E38=1,E38=0),G38=2,F38=1),J38,"")</f>
      </c>
      <c r="AI38" s="111">
        <f>IF(AND(OR(E38=1,E38=0),G38=3,F38=1),J38,"")</f>
      </c>
      <c r="AJ38" s="111">
        <f>IF(AND(OR(E38=2,E38=0),G38=1,F38=0),J38,"")</f>
      </c>
      <c r="AK38" s="111">
        <f>IF(AND(OR(E38=2,E38=0),G38=2,F38=0),J38,"")</f>
      </c>
      <c r="AL38" s="111">
        <f>IF(AND(OR(E38=2,E38=0),G38=3,F38=0),J38,"")</f>
      </c>
      <c r="AM38" s="111">
        <f>IF(AND(OR(E38=2,E38=0),G38=1,F38=1),J38,"")</f>
      </c>
      <c r="AN38" s="111">
        <f>IF(AND(OR(E38=2,E38=0),G38=2,F38=1),J38,"")</f>
      </c>
      <c r="AO38" s="111">
        <f>IF(AND(OR(E38=2,E38=0),G38=3,F38=1),J38,"")</f>
      </c>
      <c r="AP38" s="111">
        <f>IF(AND(OR(E38=3,E38=0),G38=1,F38=0),J38,"")</f>
      </c>
      <c r="AQ38" s="111">
        <f>IF(AND(OR(E38=3,E38=0),G38=2,F38=0),J38,"")</f>
      </c>
      <c r="AR38" s="111">
        <f>IF(AND(OR(E38=3,E38=0),G38=3,F38=0),J38,"")</f>
      </c>
      <c r="AS38" s="111">
        <f>IF(AND(OR(E38=3,E38=0),G38=1,F38=1),J38,"")</f>
      </c>
      <c r="AT38" s="111">
        <f>IF(AND(OR(E38=3,E38=0),G38=2,F38=1),J38,"")</f>
      </c>
      <c r="AU38" s="111">
        <f>IF(AND(OR(E38=3,E38=0),G38=3,F38=1),J38,"")</f>
      </c>
    </row>
    <row customHeight="true" ht="19" r="39">
      <c r="A39" s="99" t="str">
        <v>きゅる～んωポーズッ☆（可爱pose）</v>
      </c>
      <c r="B39" s="99" t="str"/>
      <c r="C39" s="99" t="str"/>
      <c r="D39" s="116">
        <f>IF(路线!B4="计算",持有情况!AW77,持有情况!AU76)-ROW()*1e-05</f>
      </c>
      <c r="E39" s="116">
        <v>2</v>
      </c>
      <c r="F39" s="116">
        <v>1</v>
      </c>
      <c r="G39" s="116">
        <v>2</v>
      </c>
      <c r="H39" s="117">
        <v>0</v>
      </c>
      <c r="I39" s="1" t="str"/>
      <c r="J39" s="116">
        <f>IF(路线!B4="计算",INT(45+17+13*路线!B18+30+持有情况!AW75),INT(45+17+13*路线!B18+30))-ROW()*1e-05</f>
      </c>
      <c r="K39" s="1" t="str"/>
      <c r="L39" s="111">
        <f>IF(AND(OR(E39=1,E39=0),G39=1),D39,"")</f>
      </c>
      <c r="M39" s="111">
        <f>IF(AND(OR(E39=2,E39=0),G39=1),D39,"")</f>
      </c>
      <c r="N39" s="111">
        <f>IF(AND(OR(E39=3,E39=0),G39=1),D39,"")</f>
      </c>
      <c r="O39" s="111">
        <f>IF(AND(OR(E39=1,E39=0),G39=2),D39,"")</f>
      </c>
      <c r="P39" s="111">
        <f>IF(AND(OR(E39=2,E39=0),G39=2),D39,"")</f>
      </c>
      <c r="Q39" s="111">
        <f>IF(AND(OR(E39=3,E39=0),G39=2),D39,"")</f>
      </c>
      <c r="R39" s="111">
        <f>IF(AND(OR(E39=1,E39=0),G39=3),D39,"")</f>
      </c>
      <c r="S39" s="111">
        <f>IF(AND(OR(E39=2,E39=0),G39=3),D39,"")</f>
      </c>
      <c r="T39" s="111">
        <f>IF(AND(OR(E39=3,E39=0),G39=3),D39,"")</f>
      </c>
      <c r="U39" s="111">
        <f>IF(AND(OR(E39=1,E39=0),G39=1,F39=1),D39,"")</f>
      </c>
      <c r="V39" s="111">
        <f>IF(AND(OR(E39=1,E39=0),G39=2,F39=1),D39,"")</f>
      </c>
      <c r="W39" s="111">
        <f>IF(AND(OR(E39=1,E39=0),G39=3,F39=1),D39,"")</f>
      </c>
      <c r="X39" s="111">
        <f>IF(AND(OR(E39=2,E39=0),G39=1,F39=1),D39,"")</f>
      </c>
      <c r="Y39" s="111">
        <f>IF(AND(OR(E39=2,E39=0),G39=2,F39=1),D39,"")</f>
      </c>
      <c r="Z39" s="111">
        <f>IF(AND(OR(E39=2,E39=0),G39=3,F39=1),D39,"")</f>
      </c>
      <c r="AA39" s="111">
        <f>IF(AND(OR(E39=3,E39=0),G39=1,F39=1),D39,"")</f>
      </c>
      <c r="AB39" s="111">
        <f>IF(AND(OR(E39=3,E39=0),G39=2,F39=1),D39,"")</f>
      </c>
      <c r="AC39" s="111">
        <f>IF(AND(OR(E39=3,E39=0),G39=3,F39=1),D39,"")</f>
      </c>
      <c r="AD39" s="111">
        <f>IF(AND(OR(E39=1,E39=0),G39=1,F39=0),J39,"")</f>
      </c>
      <c r="AE39" s="111">
        <f>IF(AND(OR(E39=1,E39=0),G39=2,F39=0),J39,"")</f>
      </c>
      <c r="AF39" s="111">
        <f>IF(AND(OR(E39=1,E39=0),G39=3,F39=0),J39,"")</f>
      </c>
      <c r="AG39" s="111">
        <f>IF(AND(OR(E39=1,E39=0),G39=1,F39=1),J39,"")</f>
      </c>
      <c r="AH39" s="111">
        <f>IF(AND(OR(E39=1,E39=0),G39=2,F39=1),J39,"")</f>
      </c>
      <c r="AI39" s="111">
        <f>IF(AND(OR(E39=1,E39=0),G39=3,F39=1),J39,"")</f>
      </c>
      <c r="AJ39" s="111">
        <f>IF(AND(OR(E39=2,E39=0),G39=1,F39=0),J39,"")</f>
      </c>
      <c r="AK39" s="111">
        <f>IF(AND(OR(E39=2,E39=0),G39=2,F39=0),J39,"")</f>
      </c>
      <c r="AL39" s="111">
        <f>IF(AND(OR(E39=2,E39=0),G39=3,F39=0),J39,"")</f>
      </c>
      <c r="AM39" s="111">
        <f>IF(AND(OR(E39=2,E39=0),G39=1,F39=1),J39,"")</f>
      </c>
      <c r="AN39" s="111">
        <f>IF(AND(OR(E39=2,E39=0),G39=2,F39=1),J39,"")</f>
      </c>
      <c r="AO39" s="111">
        <f>IF(AND(OR(E39=2,E39=0),G39=3,F39=1),J39,"")</f>
      </c>
      <c r="AP39" s="111">
        <f>IF(AND(OR(E39=3,E39=0),G39=1,F39=0),J39,"")</f>
      </c>
      <c r="AQ39" s="111">
        <f>IF(AND(OR(E39=3,E39=0),G39=2,F39=0),J39,"")</f>
      </c>
      <c r="AR39" s="111">
        <f>IF(AND(OR(E39=3,E39=0),G39=3,F39=0),J39,"")</f>
      </c>
      <c r="AS39" s="111">
        <f>IF(AND(OR(E39=3,E39=0),G39=1,F39=1),J39,"")</f>
      </c>
      <c r="AT39" s="111">
        <f>IF(AND(OR(E39=3,E39=0),G39=2,F39=1),J39,"")</f>
      </c>
      <c r="AU39" s="111">
        <f>IF(AND(OR(E39=3,E39=0),G39=3,F39=1),J39,"")</f>
      </c>
    </row>
    <row customHeight="true" ht="19" r="40">
      <c r="A40" s="86" t="str">
        <v>かちこちストレッチ（菲柱体前屈）</v>
      </c>
      <c r="B40" s="86" t="str"/>
      <c r="C40" s="86" t="str"/>
      <c r="D40" s="116">
        <f>IF(路线!B4="计算",持有情况!BG35,持有情况!BE34)-ROW()*1e-05</f>
      </c>
      <c r="E40" s="116">
        <v>2</v>
      </c>
      <c r="F40" s="117">
        <v>0</v>
      </c>
      <c r="G40" s="116">
        <v>3</v>
      </c>
      <c r="H40" s="117">
        <v>0</v>
      </c>
      <c r="I40" s="1" t="str"/>
      <c r="J40" s="116">
        <f>IF(路线!B4="计算",INT((6.4/100)*路线!B12+8*路线!B33+13*路线!B18+30+持有情况!BG33),INT((6.4/100)*路线!B12+8*路线!B33+13*路线!B18+30))-ROW()*1e-05</f>
      </c>
      <c r="K40" s="1" t="str"/>
      <c r="L40" s="111">
        <f>IF(AND(OR(E40=1,E40=0),G40=1),D40,"")</f>
      </c>
      <c r="M40" s="111">
        <f>IF(AND(OR(E40=2,E40=0),G40=1),D40,"")</f>
      </c>
      <c r="N40" s="111">
        <f>IF(AND(OR(E40=3,E40=0),G40=1),D40,"")</f>
      </c>
      <c r="O40" s="111">
        <f>IF(AND(OR(E40=1,E40=0),G40=2),D40,"")</f>
      </c>
      <c r="P40" s="111">
        <f>IF(AND(OR(E40=2,E40=0),G40=2),D40,"")</f>
      </c>
      <c r="Q40" s="111">
        <f>IF(AND(OR(E40=3,E40=0),G40=2),D40,"")</f>
      </c>
      <c r="R40" s="111">
        <f>IF(AND(OR(E40=1,E40=0),G40=3),D40,"")</f>
      </c>
      <c r="S40" s="111">
        <f>IF(AND(OR(E40=2,E40=0),G40=3),D40,"")</f>
      </c>
      <c r="T40" s="111">
        <f>IF(AND(OR(E40=3,E40=0),G40=3),D40,"")</f>
      </c>
      <c r="U40" s="111">
        <f>IF(AND(OR(E40=1,E40=0),G40=1,F40=1),D40,"")</f>
      </c>
      <c r="V40" s="111">
        <f>IF(AND(OR(E40=1,E40=0),G40=2,F40=1),D40,"")</f>
      </c>
      <c r="W40" s="111">
        <f>IF(AND(OR(E40=1,E40=0),G40=3,F40=1),D40,"")</f>
      </c>
      <c r="X40" s="111">
        <f>IF(AND(OR(E40=2,E40=0),G40=1,F40=1),D40,"")</f>
      </c>
      <c r="Y40" s="111">
        <f>IF(AND(OR(E40=2,E40=0),G40=2,F40=1),D40,"")</f>
      </c>
      <c r="Z40" s="111">
        <f>IF(AND(OR(E40=2,E40=0),G40=3,F40=1),D40,"")</f>
      </c>
      <c r="AA40" s="111">
        <f>IF(AND(OR(E40=3,E40=0),G40=1,F40=1),D40,"")</f>
      </c>
      <c r="AB40" s="111">
        <f>IF(AND(OR(E40=3,E40=0),G40=2,F40=1),D40,"")</f>
      </c>
      <c r="AC40" s="111">
        <f>IF(AND(OR(E40=3,E40=0),G40=3,F40=1),D40,"")</f>
      </c>
      <c r="AD40" s="111">
        <f>IF(AND(OR(E40=1,E40=0),G40=1,F40=0),J40,"")</f>
      </c>
      <c r="AE40" s="111">
        <f>IF(AND(OR(E40=1,E40=0),G40=2,F40=0),J40,"")</f>
      </c>
      <c r="AF40" s="111">
        <f>IF(AND(OR(E40=1,E40=0),G40=3,F40=0),J40,"")</f>
      </c>
      <c r="AG40" s="111">
        <f>IF(AND(OR(E40=1,E40=0),G40=1,F40=1),J40,"")</f>
      </c>
      <c r="AH40" s="111">
        <f>IF(AND(OR(E40=1,E40=0),G40=2,F40=1),J40,"")</f>
      </c>
      <c r="AI40" s="111">
        <f>IF(AND(OR(E40=1,E40=0),G40=3,F40=1),J40,"")</f>
      </c>
      <c r="AJ40" s="111">
        <f>IF(AND(OR(E40=2,E40=0),G40=1,F40=0),J40,"")</f>
      </c>
      <c r="AK40" s="111">
        <f>IF(AND(OR(E40=2,E40=0),G40=2,F40=0),J40,"")</f>
      </c>
      <c r="AL40" s="111">
        <f>IF(AND(OR(E40=2,E40=0),G40=3,F40=0),J40,"")</f>
      </c>
      <c r="AM40" s="111">
        <f>IF(AND(OR(E40=2,E40=0),G40=1,F40=1),J40,"")</f>
      </c>
      <c r="AN40" s="111">
        <f>IF(AND(OR(E40=2,E40=0),G40=2,F40=1),J40,"")</f>
      </c>
      <c r="AO40" s="111">
        <f>IF(AND(OR(E40=2,E40=0),G40=3,F40=1),J40,"")</f>
      </c>
      <c r="AP40" s="111">
        <f>IF(AND(OR(E40=3,E40=0),G40=1,F40=0),J40,"")</f>
      </c>
      <c r="AQ40" s="111">
        <f>IF(AND(OR(E40=3,E40=0),G40=2,F40=0),J40,"")</f>
      </c>
      <c r="AR40" s="111">
        <f>IF(AND(OR(E40=3,E40=0),G40=3,F40=0),J40,"")</f>
      </c>
      <c r="AS40" s="111">
        <f>IF(AND(OR(E40=3,E40=0),G40=1,F40=1),J40,"")</f>
      </c>
      <c r="AT40" s="111">
        <f>IF(AND(OR(E40=3,E40=0),G40=2,F40=1),J40,"")</f>
      </c>
      <c r="AU40" s="111">
        <f>IF(AND(OR(E40=3,E40=0),G40=3,F40=1),J40,"")</f>
      </c>
    </row>
    <row customHeight="true" ht="19" r="41">
      <c r="A41" s="86" t="str">
        <v>SSCの爆誕（毒蘑菇旧鞋跟）</v>
      </c>
      <c r="B41" s="86" t="str"/>
      <c r="C41" s="86" t="str"/>
      <c r="D41" s="116">
        <f>持有情况!BE70-ROW()*1e-05</f>
      </c>
      <c r="E41" s="116">
        <v>3</v>
      </c>
      <c r="F41" s="116">
        <v>1</v>
      </c>
      <c r="G41" s="116">
        <v>3</v>
      </c>
      <c r="H41" s="116">
        <v>1</v>
      </c>
      <c r="I41" s="111" t="str">
        <v>毒蘑菇旧鞋跟</v>
      </c>
      <c r="J41" s="116">
        <f>IF(路线!C6="计算",INT((6.4/100)*路线!B12+10*路线!B31+13*路线!B18+30+20)-ROW()*1e-05,INT((6.4/100)*路线!B12+10*路线!B31+13*路线!B18+30)-ROW()*1e-05)</f>
      </c>
      <c r="K41" s="1" t="str"/>
      <c r="L41" s="111">
        <f>IF(AND(OR(E41=1,E41=0),G41=1),D41,"")</f>
      </c>
      <c r="M41" s="111">
        <f>IF(AND(OR(E41=2,E41=0),G41=1),D41,"")</f>
      </c>
      <c r="N41" s="111">
        <f>IF(AND(OR(E41=3,E41=0),G41=1),D41,"")</f>
      </c>
      <c r="O41" s="111">
        <f>IF(AND(OR(E41=1,E41=0),G41=2),D41,"")</f>
      </c>
      <c r="P41" s="111">
        <f>IF(AND(OR(E41=2,E41=0),G41=2),D41,"")</f>
      </c>
      <c r="Q41" s="111">
        <f>IF(AND(OR(E41=3,E41=0),G41=2),D41,"")</f>
      </c>
      <c r="R41" s="111">
        <f>IF(AND(OR(E41=1,E41=0),G41=3),D41,"")</f>
      </c>
      <c r="S41" s="111">
        <f>IF(AND(OR(E41=2,E41=0),G41=3),D41,"")</f>
      </c>
      <c r="T41" s="111">
        <f>IF(AND(OR(E41=3,E41=0),G41=3),D41,"")</f>
      </c>
      <c r="U41" s="111">
        <f>IF(AND(OR(E41=1,E41=0),G41=1,F41=1),D41,"")</f>
      </c>
      <c r="V41" s="111">
        <f>IF(AND(OR(E41=1,E41=0),G41=2,F41=1),D41,"")</f>
      </c>
      <c r="W41" s="111">
        <f>IF(AND(OR(E41=1,E41=0),G41=3,F41=1),D41,"")</f>
      </c>
      <c r="X41" s="111">
        <f>IF(AND(OR(E41=2,E41=0),G41=1,F41=1),D41,"")</f>
      </c>
      <c r="Y41" s="111">
        <f>IF(AND(OR(E41=2,E41=0),G41=2,F41=1),D41,"")</f>
      </c>
      <c r="Z41" s="111">
        <f>IF(AND(OR(E41=2,E41=0),G41=3,F41=1),D41,"")</f>
      </c>
      <c r="AA41" s="111">
        <f>IF(AND(OR(E41=3,E41=0),G41=1,F41=1),D41,"")</f>
      </c>
      <c r="AB41" s="111">
        <f>IF(AND(OR(E41=3,E41=0),G41=2,F41=1),D41,"")</f>
      </c>
      <c r="AC41" s="111">
        <f>IF(AND(OR(E41=3,E41=0),G41=3,F41=1),D41,"")</f>
      </c>
      <c r="AD41" s="111">
        <f>IF(AND(OR(E41=1,E41=0),G41=1,F41=0),J41,"")</f>
      </c>
      <c r="AE41" s="111">
        <f>IF(AND(OR(E41=1,E41=0),G41=2,F41=0),J41,"")</f>
      </c>
      <c r="AF41" s="111">
        <f>IF(AND(OR(E41=1,E41=0),G41=3,F41=0),J41,"")</f>
      </c>
      <c r="AG41" s="111">
        <f>IF(AND(OR(E41=1,E41=0),G41=1,F41=1),J41,"")</f>
      </c>
      <c r="AH41" s="111">
        <f>IF(AND(OR(E41=1,E41=0),G41=2,F41=1),J41,"")</f>
      </c>
      <c r="AI41" s="111">
        <f>IF(AND(OR(E41=1,E41=0),G41=3,F41=1),J41,"")</f>
      </c>
      <c r="AJ41" s="111">
        <f>IF(AND(OR(E41=2,E41=0),G41=1,F41=0),J41,"")</f>
      </c>
      <c r="AK41" s="111">
        <f>IF(AND(OR(E41=2,E41=0),G41=2,F41=0),J41,"")</f>
      </c>
      <c r="AL41" s="111">
        <f>IF(AND(OR(E41=2,E41=0),G41=3,F41=0),J41,"")</f>
      </c>
      <c r="AM41" s="111">
        <f>IF(AND(OR(E41=2,E41=0),G41=1,F41=1),J41,"")</f>
      </c>
      <c r="AN41" s="111">
        <f>IF(AND(OR(E41=2,E41=0),G41=2,F41=1),J41,"")</f>
      </c>
      <c r="AO41" s="111">
        <f>IF(AND(OR(E41=2,E41=0),G41=3,F41=1),J41,"")</f>
      </c>
      <c r="AP41" s="111">
        <f>IF(AND(OR(E41=3,E41=0),G41=1,F41=0),J41,"")</f>
      </c>
      <c r="AQ41" s="111">
        <f>IF(AND(OR(E41=3,E41=0),G41=2,F41=0),J41,"")</f>
      </c>
      <c r="AR41" s="111">
        <f>IF(AND(OR(E41=3,E41=0),G41=3,F41=0),J41,"")</f>
      </c>
      <c r="AS41" s="111">
        <f>IF(AND(OR(E41=3,E41=0),G41=1,F41=1),J41,"")</f>
      </c>
      <c r="AT41" s="111">
        <f>IF(AND(OR(E41=3,E41=0),G41=2,F41=1),J41,"")</f>
      </c>
      <c r="AU41" s="111">
        <f>IF(AND(OR(E41=3,E41=0),G41=3,F41=1),J41,"")</f>
      </c>
    </row>
    <row customHeight="true" ht="19" r="42">
      <c r="A42" s="86" t="str">
        <v>私の目に狂いはない（黄再动）</v>
      </c>
      <c r="B42" s="86" t="str"/>
      <c r="C42" s="86" t="str"/>
      <c r="D42" s="116">
        <f>持有情况!AA10-ROW()*1e-05</f>
      </c>
      <c r="E42" s="117">
        <v>0</v>
      </c>
      <c r="F42" s="117">
        <v>0</v>
      </c>
      <c r="G42" s="116">
        <v>3</v>
      </c>
      <c r="H42" s="116">
        <v>1</v>
      </c>
      <c r="I42" s="111" t="str">
        <v>黄再动</v>
      </c>
      <c r="J42" s="116">
        <f>INT(路线!B12*(8.5/100)+7*路线!B30+4*(路线!B28+路线!B29)+40)-ROW()*1e-05</f>
      </c>
      <c r="K42" s="1" t="str"/>
      <c r="L42" s="111">
        <f>IF(AND(OR(E42=1,E42=0),G42=1),D42,"")</f>
      </c>
      <c r="M42" s="111">
        <f>IF(AND(OR(E42=2,E42=0),G42=1),D42,"")</f>
      </c>
      <c r="N42" s="111">
        <f>IF(AND(OR(E42=3,E42=0),G42=1),D42,"")</f>
      </c>
      <c r="O42" s="111">
        <f>IF(AND(OR(E42=1,E42=0),G42=2),D42,"")</f>
      </c>
      <c r="P42" s="111">
        <f>IF(AND(OR(E42=2,E42=0),G42=2),D42,"")</f>
      </c>
      <c r="Q42" s="111">
        <f>IF(AND(OR(E42=3,E42=0),G42=2),D42,"")</f>
      </c>
      <c r="R42" s="111">
        <f>IF(AND(OR(E42=1,E42=0),G42=3),D42,"")</f>
      </c>
      <c r="S42" s="111">
        <f>IF(AND(OR(E42=2,E42=0),G42=3),D42,"")</f>
      </c>
      <c r="T42" s="111">
        <f>IF(AND(OR(E42=3,E42=0),G42=3),D42,"")</f>
      </c>
      <c r="U42" s="111">
        <f>IF(AND(OR(E42=1,E42=0),G42=1,F42=1),D42,"")</f>
      </c>
      <c r="V42" s="111">
        <f>IF(AND(OR(E42=1,E42=0),G42=2,F42=1),D42,"")</f>
      </c>
      <c r="W42" s="111">
        <f>IF(AND(OR(E42=1,E42=0),G42=3,F42=1),D42,"")</f>
      </c>
      <c r="X42" s="111">
        <f>IF(AND(OR(E42=2,E42=0),G42=1,F42=1),D42,"")</f>
      </c>
      <c r="Y42" s="111">
        <f>IF(AND(OR(E42=2,E42=0),G42=2,F42=1),D42,"")</f>
      </c>
      <c r="Z42" s="111">
        <f>IF(AND(OR(E42=2,E42=0),G42=3,F42=1),D42,"")</f>
      </c>
      <c r="AA42" s="111">
        <f>IF(AND(OR(E42=3,E42=0),G42=1,F42=1),D42,"")</f>
      </c>
      <c r="AB42" s="111">
        <f>IF(AND(OR(E42=3,E42=0),G42=2,F42=1),D42,"")</f>
      </c>
      <c r="AC42" s="111">
        <f>IF(AND(OR(E42=3,E42=0),G42=3,F42=1),D42,"")</f>
      </c>
      <c r="AD42" s="111">
        <f>IF(AND(OR(E42=1,E42=0),G42=1,F42=0),J42,"")</f>
      </c>
      <c r="AE42" s="111">
        <f>IF(AND(OR(E42=1,E42=0),G42=2,F42=0),J42,"")</f>
      </c>
      <c r="AF42" s="111">
        <f>IF(AND(OR(E42=1,E42=0),G42=3,F42=0),J42,"")</f>
      </c>
      <c r="AG42" s="111">
        <f>IF(AND(OR(E42=1,E42=0),G42=1,F42=1),J42,"")</f>
      </c>
      <c r="AH42" s="111">
        <f>IF(AND(OR(E42=1,E42=0),G42=2,F42=1),J42,"")</f>
      </c>
      <c r="AI42" s="111">
        <f>IF(AND(OR(E42=1,E42=0),G42=3,F42=1),J42,"")</f>
      </c>
      <c r="AJ42" s="111">
        <f>IF(AND(OR(E42=2,E42=0),G42=1,F42=0),J42,"")</f>
      </c>
      <c r="AK42" s="111">
        <f>IF(AND(OR(E42=2,E42=0),G42=2,F42=0),J42,"")</f>
      </c>
      <c r="AL42" s="111">
        <f>IF(AND(OR(E42=2,E42=0),G42=3,F42=0),J42,"")</f>
      </c>
      <c r="AM42" s="111">
        <f>IF(AND(OR(E42=2,E42=0),G42=1,F42=1),J42,"")</f>
      </c>
      <c r="AN42" s="111">
        <f>IF(AND(OR(E42=2,E42=0),G42=2,F42=1),J42,"")</f>
      </c>
      <c r="AO42" s="111">
        <f>IF(AND(OR(E42=2,E42=0),G42=3,F42=1),J42,"")</f>
      </c>
      <c r="AP42" s="111">
        <f>IF(AND(OR(E42=3,E42=0),G42=1,F42=0),J42,"")</f>
      </c>
      <c r="AQ42" s="111">
        <f>IF(AND(OR(E42=3,E42=0),G42=2,F42=0),J42,"")</f>
      </c>
      <c r="AR42" s="111">
        <f>IF(AND(OR(E42=3,E42=0),G42=3,F42=0),J42,"")</f>
      </c>
      <c r="AS42" s="111">
        <f>IF(AND(OR(E42=3,E42=0),G42=1,F42=1),J42,"")</f>
      </c>
      <c r="AT42" s="111">
        <f>IF(AND(OR(E42=3,E42=0),G42=2,F42=1),J42,"")</f>
      </c>
      <c r="AU42" s="111">
        <f>IF(AND(OR(E42=3,E42=0),G42=3,F42=1),J42,"")</f>
      </c>
    </row>
    <row customHeight="true" ht="19" r="43">
      <c r="A43" s="75" t="str">
        <v>可愛いと可愛いで可愛い！（三可爱）</v>
      </c>
      <c r="B43" s="75" t="str"/>
      <c r="C43" s="75" t="str"/>
      <c r="D43" s="116">
        <f>持有情况!G16-ROW()*1e-05</f>
      </c>
      <c r="E43" s="117">
        <v>0</v>
      </c>
      <c r="F43" s="116">
        <v>1</v>
      </c>
      <c r="G43" s="116">
        <v>1</v>
      </c>
      <c r="H43" s="116">
        <v>1</v>
      </c>
      <c r="I43" s="111" t="str">
        <v>三可爱</v>
      </c>
      <c r="J43" s="116">
        <f>IF(路线!C6="计算",INT(60+17*路线!B18+3*路线!B23+40+20)-ROW()*1e-05,INT(60+17*路线!B18+3*路线!B23+40)-ROW()*1e-05)</f>
      </c>
      <c r="K43" s="1" t="str"/>
      <c r="L43" s="111">
        <f>IF(AND(OR(E43=1,E43=0),G43=1),D43,"")</f>
      </c>
      <c r="M43" s="111">
        <f>IF(AND(OR(E43=2,E43=0),G43=1),D43,"")</f>
      </c>
      <c r="N43" s="111">
        <f>IF(AND(OR(E43=3,E43=0),G43=1),D43,"")</f>
      </c>
      <c r="O43" s="111">
        <f>IF(AND(OR(E43=1,E43=0),G43=2),D43,"")</f>
      </c>
      <c r="P43" s="111">
        <f>IF(AND(OR(E43=2,E43=0),G43=2),D43,"")</f>
      </c>
      <c r="Q43" s="111">
        <f>IF(AND(OR(E43=3,E43=0),G43=2),D43,"")</f>
      </c>
      <c r="R43" s="111">
        <f>IF(AND(OR(E43=1,E43=0),G43=3),D43,"")</f>
      </c>
      <c r="S43" s="111">
        <f>IF(AND(OR(E43=2,E43=0),G43=3),D43,"")</f>
      </c>
      <c r="T43" s="111">
        <f>IF(AND(OR(E43=3,E43=0),G43=3),D43,"")</f>
      </c>
      <c r="U43" s="111">
        <f>IF(AND(OR(E43=1,E43=0),G43=1,F43=1),D43,"")</f>
      </c>
      <c r="V43" s="111">
        <f>IF(AND(OR(E43=1,E43=0),G43=2,F43=1),D43,"")</f>
      </c>
      <c r="W43" s="111">
        <f>IF(AND(OR(E43=1,E43=0),G43=3,F43=1),D43,"")</f>
      </c>
      <c r="X43" s="111">
        <f>IF(AND(OR(E43=2,E43=0),G43=1,F43=1),D43,"")</f>
      </c>
      <c r="Y43" s="111">
        <f>IF(AND(OR(E43=2,E43=0),G43=2,F43=1),D43,"")</f>
      </c>
      <c r="Z43" s="111">
        <f>IF(AND(OR(E43=2,E43=0),G43=3,F43=1),D43,"")</f>
      </c>
      <c r="AA43" s="111">
        <f>IF(AND(OR(E43=3,E43=0),G43=1,F43=1),D43,"")</f>
      </c>
      <c r="AB43" s="111">
        <f>IF(AND(OR(E43=3,E43=0),G43=2,F43=1),D43,"")</f>
      </c>
      <c r="AC43" s="111">
        <f>IF(AND(OR(E43=3,E43=0),G43=3,F43=1),D43,"")</f>
      </c>
      <c r="AD43" s="111">
        <f>IF(AND(OR(E43=1,E43=0),G43=1,F43=0),J43,"")</f>
      </c>
      <c r="AE43" s="111">
        <f>IF(AND(OR(E43=1,E43=0),G43=2,F43=0),J43,"")</f>
      </c>
      <c r="AF43" s="111">
        <f>IF(AND(OR(E43=1,E43=0),G43=3,F43=0),J43,"")</f>
      </c>
      <c r="AG43" s="111">
        <f>IF(AND(OR(E43=1,E43=0),G43=1,F43=1),J43,"")</f>
      </c>
      <c r="AH43" s="111">
        <f>IF(AND(OR(E43=1,E43=0),G43=2,F43=1),J43,"")</f>
      </c>
      <c r="AI43" s="111">
        <f>IF(AND(OR(E43=1,E43=0),G43=3,F43=1),J43,"")</f>
      </c>
      <c r="AJ43" s="111">
        <f>IF(AND(OR(E43=2,E43=0),G43=1,F43=0),J43,"")</f>
      </c>
      <c r="AK43" s="111">
        <f>IF(AND(OR(E43=2,E43=0),G43=2,F43=0),J43,"")</f>
      </c>
      <c r="AL43" s="111">
        <f>IF(AND(OR(E43=2,E43=0),G43=3,F43=0),J43,"")</f>
      </c>
      <c r="AM43" s="111">
        <f>IF(AND(OR(E43=2,E43=0),G43=1,F43=1),J43,"")</f>
      </c>
      <c r="AN43" s="111">
        <f>IF(AND(OR(E43=2,E43=0),G43=2,F43=1),J43,"")</f>
      </c>
      <c r="AO43" s="111">
        <f>IF(AND(OR(E43=2,E43=0),G43=3,F43=1),J43,"")</f>
      </c>
      <c r="AP43" s="111">
        <f>IF(AND(OR(E43=3,E43=0),G43=1,F43=0),J43,"")</f>
      </c>
      <c r="AQ43" s="111">
        <f>IF(AND(OR(E43=3,E43=0),G43=2,F43=0),J43,"")</f>
      </c>
      <c r="AR43" s="111">
        <f>IF(AND(OR(E43=3,E43=0),G43=3,F43=0),J43,"")</f>
      </c>
      <c r="AS43" s="111">
        <f>IF(AND(OR(E43=3,E43=0),G43=1,F43=1),J43,"")</f>
      </c>
      <c r="AT43" s="111">
        <f>IF(AND(OR(E43=3,E43=0),G43=2,F43=1),J43,"")</f>
      </c>
      <c r="AU43" s="111">
        <f>IF(AND(OR(E43=3,E43=0),G43=3,F43=1),J43,"")</f>
      </c>
    </row>
    <row customHeight="true" ht="19" r="44">
      <c r="A44" s="75" t="str">
        <v>一時休戦です（一时休战）</v>
      </c>
      <c r="B44" s="75" t="str"/>
      <c r="C44" s="75" t="str"/>
      <c r="D44" s="116">
        <f>持有情况!G46-ROW()*1e-05</f>
      </c>
      <c r="E44" s="116">
        <v>1</v>
      </c>
      <c r="F44" s="117">
        <v>0</v>
      </c>
      <c r="G44" s="116">
        <v>1</v>
      </c>
      <c r="H44" s="116">
        <v>1</v>
      </c>
      <c r="I44" s="111" t="str">
        <v>一时休战</v>
      </c>
      <c r="J44" s="116">
        <f>IF(路线!C6="计算",INT((8.5/100)*路线!B12+17*路线!B18+17*路线!B34+40+20)-ROW()*1e-05,INT((8.5/100)*路线!B12+17*路线!B18+17*路线!B34+40)-ROW()*1e-05)</f>
      </c>
      <c r="K44" s="1" t="str"/>
      <c r="L44" s="111">
        <f>IF(AND(OR(E44=1,E44=0),G44=1),D44,"")</f>
      </c>
      <c r="M44" s="111">
        <f>IF(AND(OR(E44=2,E44=0),G44=1),D44,"")</f>
      </c>
      <c r="N44" s="111">
        <f>IF(AND(OR(E44=3,E44=0),G44=1),D44,"")</f>
      </c>
      <c r="O44" s="111">
        <f>IF(AND(OR(E44=1,E44=0),G44=2),D44,"")</f>
      </c>
      <c r="P44" s="111">
        <f>IF(AND(OR(E44=2,E44=0),G44=2),D44,"")</f>
      </c>
      <c r="Q44" s="111">
        <f>IF(AND(OR(E44=3,E44=0),G44=2),D44,"")</f>
      </c>
      <c r="R44" s="111">
        <f>IF(AND(OR(E44=1,E44=0),G44=3),D44,"")</f>
      </c>
      <c r="S44" s="111">
        <f>IF(AND(OR(E44=2,E44=0),G44=3),D44,"")</f>
      </c>
      <c r="T44" s="111">
        <f>IF(AND(OR(E44=3,E44=0),G44=3),D44,"")</f>
      </c>
      <c r="U44" s="111">
        <f>IF(AND(OR(E44=1,E44=0),G44=1,F44=1),D44,"")</f>
      </c>
      <c r="V44" s="111">
        <f>IF(AND(OR(E44=1,E44=0),G44=2,F44=1),D44,"")</f>
      </c>
      <c r="W44" s="111">
        <f>IF(AND(OR(E44=1,E44=0),G44=3,F44=1),D44,"")</f>
      </c>
      <c r="X44" s="111">
        <f>IF(AND(OR(E44=2,E44=0),G44=1,F44=1),D44,"")</f>
      </c>
      <c r="Y44" s="111">
        <f>IF(AND(OR(E44=2,E44=0),G44=2,F44=1),D44,"")</f>
      </c>
      <c r="Z44" s="111">
        <f>IF(AND(OR(E44=2,E44=0),G44=3,F44=1),D44,"")</f>
      </c>
      <c r="AA44" s="111">
        <f>IF(AND(OR(E44=3,E44=0),G44=1,F44=1),D44,"")</f>
      </c>
      <c r="AB44" s="111">
        <f>IF(AND(OR(E44=3,E44=0),G44=2,F44=1),D44,"")</f>
      </c>
      <c r="AC44" s="111">
        <f>IF(AND(OR(E44=3,E44=0),G44=3,F44=1),D44,"")</f>
      </c>
      <c r="AD44" s="111">
        <f>IF(AND(OR(E44=1,E44=0),G44=1,F44=0),J44,"")</f>
      </c>
      <c r="AE44" s="111">
        <f>IF(AND(OR(E44=1,E44=0),G44=2,F44=0),J44,"")</f>
      </c>
      <c r="AF44" s="111">
        <f>IF(AND(OR(E44=1,E44=0),G44=3,F44=0),J44,"")</f>
      </c>
      <c r="AG44" s="111">
        <f>IF(AND(OR(E44=1,E44=0),G44=1,F44=1),J44,"")</f>
      </c>
      <c r="AH44" s="111">
        <f>IF(AND(OR(E44=1,E44=0),G44=2,F44=1),J44,"")</f>
      </c>
      <c r="AI44" s="111">
        <f>IF(AND(OR(E44=1,E44=0),G44=3,F44=1),J44,"")</f>
      </c>
      <c r="AJ44" s="111">
        <f>IF(AND(OR(E44=2,E44=0),G44=1,F44=0),J44,"")</f>
      </c>
      <c r="AK44" s="111">
        <f>IF(AND(OR(E44=2,E44=0),G44=2,F44=0),J44,"")</f>
      </c>
      <c r="AL44" s="111">
        <f>IF(AND(OR(E44=2,E44=0),G44=3,F44=0),J44,"")</f>
      </c>
      <c r="AM44" s="111">
        <f>IF(AND(OR(E44=2,E44=0),G44=1,F44=1),J44,"")</f>
      </c>
      <c r="AN44" s="111">
        <f>IF(AND(OR(E44=2,E44=0),G44=2,F44=1),J44,"")</f>
      </c>
      <c r="AO44" s="111">
        <f>IF(AND(OR(E44=2,E44=0),G44=3,F44=1),J44,"")</f>
      </c>
      <c r="AP44" s="111">
        <f>IF(AND(OR(E44=3,E44=0),G44=1,F44=0),J44,"")</f>
      </c>
      <c r="AQ44" s="111">
        <f>IF(AND(OR(E44=3,E44=0),G44=2,F44=0),J44,"")</f>
      </c>
      <c r="AR44" s="111">
        <f>IF(AND(OR(E44=3,E44=0),G44=3,F44=0),J44,"")</f>
      </c>
      <c r="AS44" s="111">
        <f>IF(AND(OR(E44=3,E44=0),G44=1,F44=1),J44,"")</f>
      </c>
      <c r="AT44" s="111">
        <f>IF(AND(OR(E44=3,E44=0),G44=2,F44=1),J44,"")</f>
      </c>
      <c r="AU44" s="111">
        <f>IF(AND(OR(E44=3,E44=0),G44=3,F44=1),J44,"")</f>
      </c>
    </row>
    <row customHeight="true" ht="19" r="45">
      <c r="A45" s="75" t="str">
        <v>さあ、もう一戦！（黑岩射手）</v>
      </c>
      <c r="B45" s="75" t="str"/>
      <c r="C45" s="75" t="str"/>
      <c r="D45" s="116">
        <f>持有情况!G94-ROW()*1e-05</f>
      </c>
      <c r="E45" s="117">
        <v>0</v>
      </c>
      <c r="F45" s="117">
        <v>0</v>
      </c>
      <c r="G45" s="116">
        <v>1</v>
      </c>
      <c r="H45" s="116">
        <v>1</v>
      </c>
      <c r="I45" s="111" t="str">
        <v>黑岩射手</v>
      </c>
      <c r="J45" s="116">
        <f>IF(路线!C6="计算",INT((8.5/100)*路线!B12+2*路线!B24+13*路线!B18+40+20)-ROW()*1e-05,INT((8.5/100)*路线!B12+2*路线!B24+13*路线!B18+40)-ROW()*1e-05)</f>
      </c>
      <c r="K45" s="1" t="str"/>
      <c r="L45" s="111">
        <f>IF(AND(OR(E45=1,E45=0),G45=1),D45,"")</f>
      </c>
      <c r="M45" s="111">
        <f>IF(AND(OR(E45=2,E45=0),G45=1),D45,"")</f>
      </c>
      <c r="N45" s="111">
        <f>IF(AND(OR(E45=3,E45=0),G45=1),D45,"")</f>
      </c>
      <c r="O45" s="111">
        <f>IF(AND(OR(E45=1,E45=0),G45=2),D45,"")</f>
      </c>
      <c r="P45" s="111">
        <f>IF(AND(OR(E45=2,E45=0),G45=2),D45,"")</f>
      </c>
      <c r="Q45" s="111">
        <f>IF(AND(OR(E45=3,E45=0),G45=2),D45,"")</f>
      </c>
      <c r="R45" s="111">
        <f>IF(AND(OR(E45=1,E45=0),G45=3),D45,"")</f>
      </c>
      <c r="S45" s="111">
        <f>IF(AND(OR(E45=2,E45=0),G45=3),D45,"")</f>
      </c>
      <c r="T45" s="111">
        <f>IF(AND(OR(E45=3,E45=0),G45=3),D45,"")</f>
      </c>
      <c r="U45" s="111">
        <f>IF(AND(OR(E45=1,E45=0),G45=1,F45=1),D45,"")</f>
      </c>
      <c r="V45" s="111">
        <f>IF(AND(OR(E45=1,E45=0),G45=2,F45=1),D45,"")</f>
      </c>
      <c r="W45" s="111">
        <f>IF(AND(OR(E45=1,E45=0),G45=3,F45=1),D45,"")</f>
      </c>
      <c r="X45" s="111">
        <f>IF(AND(OR(E45=2,E45=0),G45=1,F45=1),D45,"")</f>
      </c>
      <c r="Y45" s="111">
        <f>IF(AND(OR(E45=2,E45=0),G45=2,F45=1),D45,"")</f>
      </c>
      <c r="Z45" s="111">
        <f>IF(AND(OR(E45=2,E45=0),G45=3,F45=1),D45,"")</f>
      </c>
      <c r="AA45" s="111">
        <f>IF(AND(OR(E45=3,E45=0),G45=1,F45=1),D45,"")</f>
      </c>
      <c r="AB45" s="111">
        <f>IF(AND(OR(E45=3,E45=0),G45=2,F45=1),D45,"")</f>
      </c>
      <c r="AC45" s="111">
        <f>IF(AND(OR(E45=3,E45=0),G45=3,F45=1),D45,"")</f>
      </c>
      <c r="AD45" s="111">
        <f>IF(AND(OR(E45=1,E45=0),G45=1,F45=0),J45,"")</f>
      </c>
      <c r="AE45" s="111">
        <f>IF(AND(OR(E45=1,E45=0),G45=2,F45=0),J45,"")</f>
      </c>
      <c r="AF45" s="111">
        <f>IF(AND(OR(E45=1,E45=0),G45=3,F45=0),J45,"")</f>
      </c>
      <c r="AG45" s="111">
        <f>IF(AND(OR(E45=1,E45=0),G45=1,F45=1),J45,"")</f>
      </c>
      <c r="AH45" s="111">
        <f>IF(AND(OR(E45=1,E45=0),G45=2,F45=1),J45,"")</f>
      </c>
      <c r="AI45" s="111">
        <f>IF(AND(OR(E45=1,E45=0),G45=3,F45=1),J45,"")</f>
      </c>
      <c r="AJ45" s="111">
        <f>IF(AND(OR(E45=2,E45=0),G45=1,F45=0),J45,"")</f>
      </c>
      <c r="AK45" s="111">
        <f>IF(AND(OR(E45=2,E45=0),G45=2,F45=0),J45,"")</f>
      </c>
      <c r="AL45" s="111">
        <f>IF(AND(OR(E45=2,E45=0),G45=3,F45=0),J45,"")</f>
      </c>
      <c r="AM45" s="111">
        <f>IF(AND(OR(E45=2,E45=0),G45=1,F45=1),J45,"")</f>
      </c>
      <c r="AN45" s="111">
        <f>IF(AND(OR(E45=2,E45=0),G45=2,F45=1),J45,"")</f>
      </c>
      <c r="AO45" s="111">
        <f>IF(AND(OR(E45=2,E45=0),G45=3,F45=1),J45,"")</f>
      </c>
      <c r="AP45" s="111">
        <f>IF(AND(OR(E45=3,E45=0),G45=1,F45=0),J45,"")</f>
      </c>
      <c r="AQ45" s="111">
        <f>IF(AND(OR(E45=3,E45=0),G45=2,F45=0),J45,"")</f>
      </c>
      <c r="AR45" s="111">
        <f>IF(AND(OR(E45=3,E45=0),G45=3,F45=0),J45,"")</f>
      </c>
      <c r="AS45" s="111">
        <f>IF(AND(OR(E45=3,E45=0),G45=1,F45=1),J45,"")</f>
      </c>
      <c r="AT45" s="111">
        <f>IF(AND(OR(E45=3,E45=0),G45=2,F45=1),J45,"")</f>
      </c>
      <c r="AU45" s="111">
        <f>IF(AND(OR(E45=3,E45=0),G45=3,F45=1),J45,"")</f>
      </c>
    </row>
    <row customHeight="true" ht="19" r="46">
      <c r="A46" s="99" t="str">
        <v>あっちも行きたいですわ！（大饮料）</v>
      </c>
      <c r="B46" s="99" t="str"/>
      <c r="C46" s="99" t="str"/>
      <c r="D46" s="116">
        <f>持有情况!Q52-ROW()*1e-05</f>
      </c>
      <c r="E46" s="116">
        <v>1</v>
      </c>
      <c r="F46" s="116">
        <v>1</v>
      </c>
      <c r="G46" s="116">
        <v>2</v>
      </c>
      <c r="H46" s="117">
        <v>0</v>
      </c>
      <c r="I46" s="1" t="str"/>
      <c r="J46" s="116">
        <f>INT(60+17*路线!B18+3*路线!B23+40)-ROW()*1e-05</f>
      </c>
      <c r="K46" s="1" t="str"/>
      <c r="L46" s="111">
        <f>IF(AND(OR(E46=1,E46=0),G46=1),D46,"")</f>
      </c>
      <c r="M46" s="111">
        <f>IF(AND(OR(E46=2,E46=0),G46=1),D46,"")</f>
      </c>
      <c r="N46" s="111">
        <f>IF(AND(OR(E46=3,E46=0),G46=1),D46,"")</f>
      </c>
      <c r="O46" s="111">
        <f>IF(AND(OR(E46=1,E46=0),G46=2),D46,"")</f>
      </c>
      <c r="P46" s="111">
        <f>IF(AND(OR(E46=2,E46=0),G46=2),D46,"")</f>
      </c>
      <c r="Q46" s="111">
        <f>IF(AND(OR(E46=3,E46=0),G46=2),D46,"")</f>
      </c>
      <c r="R46" s="111">
        <f>IF(AND(OR(E46=1,E46=0),G46=3),D46,"")</f>
      </c>
      <c r="S46" s="111">
        <f>IF(AND(OR(E46=2,E46=0),G46=3),D46,"")</f>
      </c>
      <c r="T46" s="111">
        <f>IF(AND(OR(E46=3,E46=0),G46=3),D46,"")</f>
      </c>
      <c r="U46" s="111">
        <f>IF(AND(OR(E46=1,E46=0),G46=1,F46=1),D46,"")</f>
      </c>
      <c r="V46" s="111">
        <f>IF(AND(OR(E46=1,E46=0),G46=2,F46=1),D46,"")</f>
      </c>
      <c r="W46" s="111">
        <f>IF(AND(OR(E46=1,E46=0),G46=3,F46=1),D46,"")</f>
      </c>
      <c r="X46" s="111">
        <f>IF(AND(OR(E46=2,E46=0),G46=1,F46=1),D46,"")</f>
      </c>
      <c r="Y46" s="111">
        <f>IF(AND(OR(E46=2,E46=0),G46=2,F46=1),D46,"")</f>
      </c>
      <c r="Z46" s="111">
        <f>IF(AND(OR(E46=2,E46=0),G46=3,F46=1),D46,"")</f>
      </c>
      <c r="AA46" s="111">
        <f>IF(AND(OR(E46=3,E46=0),G46=1,F46=1),D46,"")</f>
      </c>
      <c r="AB46" s="111">
        <f>IF(AND(OR(E46=3,E46=0),G46=2,F46=1),D46,"")</f>
      </c>
      <c r="AC46" s="111">
        <f>IF(AND(OR(E46=3,E46=0),G46=3,F46=1),D46,"")</f>
      </c>
      <c r="AD46" s="111">
        <f>IF(AND(OR(E46=1,E46=0),G46=1,F46=0),J46,"")</f>
      </c>
      <c r="AE46" s="111">
        <f>IF(AND(OR(E46=1,E46=0),G46=2,F46=0),J46,"")</f>
      </c>
      <c r="AF46" s="111">
        <f>IF(AND(OR(E46=1,E46=0),G46=3,F46=0),J46,"")</f>
      </c>
      <c r="AG46" s="111">
        <f>IF(AND(OR(E46=1,E46=0),G46=1,F46=1),J46,"")</f>
      </c>
      <c r="AH46" s="111">
        <f>IF(AND(OR(E46=1,E46=0),G46=2,F46=1),J46,"")</f>
      </c>
      <c r="AI46" s="111">
        <f>IF(AND(OR(E46=1,E46=0),G46=3,F46=1),J46,"")</f>
      </c>
      <c r="AJ46" s="111">
        <f>IF(AND(OR(E46=2,E46=0),G46=1,F46=0),J46,"")</f>
      </c>
      <c r="AK46" s="111">
        <f>IF(AND(OR(E46=2,E46=0),G46=2,F46=0),J46,"")</f>
      </c>
      <c r="AL46" s="111">
        <f>IF(AND(OR(E46=2,E46=0),G46=3,F46=0),J46,"")</f>
      </c>
      <c r="AM46" s="111">
        <f>IF(AND(OR(E46=2,E46=0),G46=1,F46=1),J46,"")</f>
      </c>
      <c r="AN46" s="111">
        <f>IF(AND(OR(E46=2,E46=0),G46=2,F46=1),J46,"")</f>
      </c>
      <c r="AO46" s="111">
        <f>IF(AND(OR(E46=2,E46=0),G46=3,F46=1),J46,"")</f>
      </c>
      <c r="AP46" s="111">
        <f>IF(AND(OR(E46=3,E46=0),G46=1,F46=0),J46,"")</f>
      </c>
      <c r="AQ46" s="111">
        <f>IF(AND(OR(E46=3,E46=0),G46=2,F46=0),J46,"")</f>
      </c>
      <c r="AR46" s="111">
        <f>IF(AND(OR(E46=3,E46=0),G46=3,F46=0),J46,"")</f>
      </c>
      <c r="AS46" s="111">
        <f>IF(AND(OR(E46=3,E46=0),G46=1,F46=1),J46,"")</f>
      </c>
      <c r="AT46" s="111">
        <f>IF(AND(OR(E46=3,E46=0),G46=2,F46=1),J46,"")</f>
      </c>
      <c r="AU46" s="111">
        <f>IF(AND(OR(E46=3,E46=0),G46=3,F46=1),J46,"")</f>
      </c>
    </row>
    <row customHeight="true" ht="19" r="47">
      <c r="A47" s="99" t="str">
        <v>待ちなさーい！（蓝旗）</v>
      </c>
      <c r="B47" s="99" t="str"/>
      <c r="C47" s="99" t="str"/>
      <c r="D47" s="116">
        <f>持有情况!Q82-ROW()*1e-05</f>
      </c>
      <c r="E47" s="116">
        <v>3</v>
      </c>
      <c r="F47" s="116">
        <v>1</v>
      </c>
      <c r="G47" s="116">
        <v>2</v>
      </c>
      <c r="H47" s="116">
        <v>1</v>
      </c>
      <c r="I47" s="111" t="str">
        <v>蓝旗</v>
      </c>
      <c r="J47" s="116">
        <f>INT(60+17*路线!B18+3*路线!B23+40)-ROW()*1e-05</f>
      </c>
      <c r="K47" s="1" t="str"/>
      <c r="L47" s="111">
        <f>IF(AND(OR(E47=1,E47=0),G47=1),D47,"")</f>
      </c>
      <c r="M47" s="111">
        <f>IF(AND(OR(E47=2,E47=0),G47=1),D47,"")</f>
      </c>
      <c r="N47" s="111">
        <f>IF(AND(OR(E47=3,E47=0),G47=1),D47,"")</f>
      </c>
      <c r="O47" s="111">
        <f>IF(AND(OR(E47=1,E47=0),G47=2),D47,"")</f>
      </c>
      <c r="P47" s="111">
        <f>IF(AND(OR(E47=2,E47=0),G47=2),D47,"")</f>
      </c>
      <c r="Q47" s="111">
        <f>IF(AND(OR(E47=3,E47=0),G47=2),D47,"")</f>
      </c>
      <c r="R47" s="111">
        <f>IF(AND(OR(E47=1,E47=0),G47=3),D47,"")</f>
      </c>
      <c r="S47" s="111">
        <f>IF(AND(OR(E47=2,E47=0),G47=3),D47,"")</f>
      </c>
      <c r="T47" s="111">
        <f>IF(AND(OR(E47=3,E47=0),G47=3),D47,"")</f>
      </c>
      <c r="U47" s="111">
        <f>IF(AND(OR(E47=1,E47=0),G47=1,F47=1),D47,"")</f>
      </c>
      <c r="V47" s="111">
        <f>IF(AND(OR(E47=1,E47=0),G47=2,F47=1),D47,"")</f>
      </c>
      <c r="W47" s="111">
        <f>IF(AND(OR(E47=1,E47=0),G47=3,F47=1),D47,"")</f>
      </c>
      <c r="X47" s="111">
        <f>IF(AND(OR(E47=2,E47=0),G47=1,F47=1),D47,"")</f>
      </c>
      <c r="Y47" s="111">
        <f>IF(AND(OR(E47=2,E47=0),G47=2,F47=1),D47,"")</f>
      </c>
      <c r="Z47" s="111">
        <f>IF(AND(OR(E47=2,E47=0),G47=3,F47=1),D47,"")</f>
      </c>
      <c r="AA47" s="111">
        <f>IF(AND(OR(E47=3,E47=0),G47=1,F47=1),D47,"")</f>
      </c>
      <c r="AB47" s="111">
        <f>IF(AND(OR(E47=3,E47=0),G47=2,F47=1),D47,"")</f>
      </c>
      <c r="AC47" s="111">
        <f>IF(AND(OR(E47=3,E47=0),G47=3,F47=1),D47,"")</f>
      </c>
      <c r="AD47" s="111">
        <f>IF(AND(OR(E47=1,E47=0),G47=1,F47=0),J47,"")</f>
      </c>
      <c r="AE47" s="111">
        <f>IF(AND(OR(E47=1,E47=0),G47=2,F47=0),J47,"")</f>
      </c>
      <c r="AF47" s="111">
        <f>IF(AND(OR(E47=1,E47=0),G47=3,F47=0),J47,"")</f>
      </c>
      <c r="AG47" s="111">
        <f>IF(AND(OR(E47=1,E47=0),G47=1,F47=1),J47,"")</f>
      </c>
      <c r="AH47" s="111">
        <f>IF(AND(OR(E47=1,E47=0),G47=2,F47=1),J47,"")</f>
      </c>
      <c r="AI47" s="111">
        <f>IF(AND(OR(E47=1,E47=0),G47=3,F47=1),J47,"")</f>
      </c>
      <c r="AJ47" s="111">
        <f>IF(AND(OR(E47=2,E47=0),G47=1,F47=0),J47,"")</f>
      </c>
      <c r="AK47" s="111">
        <f>IF(AND(OR(E47=2,E47=0),G47=2,F47=0),J47,"")</f>
      </c>
      <c r="AL47" s="111">
        <f>IF(AND(OR(E47=2,E47=0),G47=3,F47=0),J47,"")</f>
      </c>
      <c r="AM47" s="111">
        <f>IF(AND(OR(E47=2,E47=0),G47=1,F47=1),J47,"")</f>
      </c>
      <c r="AN47" s="111">
        <f>IF(AND(OR(E47=2,E47=0),G47=2,F47=1),J47,"")</f>
      </c>
      <c r="AO47" s="111">
        <f>IF(AND(OR(E47=2,E47=0),G47=3,F47=1),J47,"")</f>
      </c>
      <c r="AP47" s="111">
        <f>IF(AND(OR(E47=3,E47=0),G47=1,F47=0),J47,"")</f>
      </c>
      <c r="AQ47" s="111">
        <f>IF(AND(OR(E47=3,E47=0),G47=2,F47=0),J47,"")</f>
      </c>
      <c r="AR47" s="111">
        <f>IF(AND(OR(E47=3,E47=0),G47=3,F47=0),J47,"")</f>
      </c>
      <c r="AS47" s="111">
        <f>IF(AND(OR(E47=3,E47=0),G47=1,F47=1),J47,"")</f>
      </c>
      <c r="AT47" s="111">
        <f>IF(AND(OR(E47=3,E47=0),G47=2,F47=1),J47,"")</f>
      </c>
      <c r="AU47" s="111">
        <f>IF(AND(OR(E47=3,E47=0),G47=3,F47=1),J47,"")</f>
      </c>
    </row>
    <row customHeight="true" ht="19" r="48">
      <c r="A48" s="86" t="str">
        <v>ゆっくりと過ごしましょう（黄购物）</v>
      </c>
      <c r="B48" s="86" t="str"/>
      <c r="C48" s="86" t="str"/>
      <c r="D48" s="116">
        <f>持有情况!AA58-ROW()*1e-05</f>
      </c>
      <c r="E48" s="116">
        <v>2</v>
      </c>
      <c r="F48" s="117">
        <v>0</v>
      </c>
      <c r="G48" s="116">
        <v>3</v>
      </c>
      <c r="H48" s="116">
        <v>1</v>
      </c>
      <c r="I48" s="111" t="str">
        <v>黄购物</v>
      </c>
      <c r="J48" s="116">
        <f>IF(路线!C6="计算",INT(60+17*路线!B18+11*路线!B39+40+20)-ROW()*1e-05,INT(60+17*路线!B18+11*路线!B39+40)-ROW()*1e-05)</f>
      </c>
      <c r="K48" s="1" t="str"/>
      <c r="L48" s="111">
        <f>IF(AND(OR(E48=1,E48=0),G48=1),D48,"")</f>
      </c>
      <c r="M48" s="111">
        <f>IF(AND(OR(E48=2,E48=0),G48=1),D48,"")</f>
      </c>
      <c r="N48" s="111">
        <f>IF(AND(OR(E48=3,E48=0),G48=1),D48,"")</f>
      </c>
      <c r="O48" s="111">
        <f>IF(AND(OR(E48=1,E48=0),G48=2),D48,"")</f>
      </c>
      <c r="P48" s="111">
        <f>IF(AND(OR(E48=2,E48=0),G48=2),D48,"")</f>
      </c>
      <c r="Q48" s="111">
        <f>IF(AND(OR(E48=3,E48=0),G48=2),D48,"")</f>
      </c>
      <c r="R48" s="111">
        <f>IF(AND(OR(E48=1,E48=0),G48=3),D48,"")</f>
      </c>
      <c r="S48" s="111">
        <f>IF(AND(OR(E48=2,E48=0),G48=3),D48,"")</f>
      </c>
      <c r="T48" s="111">
        <f>IF(AND(OR(E48=3,E48=0),G48=3),D48,"")</f>
      </c>
      <c r="U48" s="111">
        <f>IF(AND(OR(E48=1,E48=0),G48=1,F48=1),D48,"")</f>
      </c>
      <c r="V48" s="111">
        <f>IF(AND(OR(E48=1,E48=0),G48=2,F48=1),D48,"")</f>
      </c>
      <c r="W48" s="111">
        <f>IF(AND(OR(E48=1,E48=0),G48=3,F48=1),D48,"")</f>
      </c>
      <c r="X48" s="111">
        <f>IF(AND(OR(E48=2,E48=0),G48=1,F48=1),D48,"")</f>
      </c>
      <c r="Y48" s="111">
        <f>IF(AND(OR(E48=2,E48=0),G48=2,F48=1),D48,"")</f>
      </c>
      <c r="Z48" s="111">
        <f>IF(AND(OR(E48=2,E48=0),G48=3,F48=1),D48,"")</f>
      </c>
      <c r="AA48" s="111">
        <f>IF(AND(OR(E48=3,E48=0),G48=1,F48=1),D48,"")</f>
      </c>
      <c r="AB48" s="111">
        <f>IF(AND(OR(E48=3,E48=0),G48=2,F48=1),D48,"")</f>
      </c>
      <c r="AC48" s="111">
        <f>IF(AND(OR(E48=3,E48=0),G48=3,F48=1),D48,"")</f>
      </c>
      <c r="AD48" s="111">
        <f>IF(AND(OR(E48=1,E48=0),G48=1,F48=0),J48,"")</f>
      </c>
      <c r="AE48" s="111">
        <f>IF(AND(OR(E48=1,E48=0),G48=2,F48=0),J48,"")</f>
      </c>
      <c r="AF48" s="111">
        <f>IF(AND(OR(E48=1,E48=0),G48=3,F48=0),J48,"")</f>
      </c>
      <c r="AG48" s="111">
        <f>IF(AND(OR(E48=1,E48=0),G48=1,F48=1),J48,"")</f>
      </c>
      <c r="AH48" s="111">
        <f>IF(AND(OR(E48=1,E48=0),G48=2,F48=1),J48,"")</f>
      </c>
      <c r="AI48" s="111">
        <f>IF(AND(OR(E48=1,E48=0),G48=3,F48=1),J48,"")</f>
      </c>
      <c r="AJ48" s="111">
        <f>IF(AND(OR(E48=2,E48=0),G48=1,F48=0),J48,"")</f>
      </c>
      <c r="AK48" s="111">
        <f>IF(AND(OR(E48=2,E48=0),G48=2,F48=0),J48,"")</f>
      </c>
      <c r="AL48" s="111">
        <f>IF(AND(OR(E48=2,E48=0),G48=3,F48=0),J48,"")</f>
      </c>
      <c r="AM48" s="111">
        <f>IF(AND(OR(E48=2,E48=0),G48=1,F48=1),J48,"")</f>
      </c>
      <c r="AN48" s="111">
        <f>IF(AND(OR(E48=2,E48=0),G48=2,F48=1),J48,"")</f>
      </c>
      <c r="AO48" s="111">
        <f>IF(AND(OR(E48=2,E48=0),G48=3,F48=1),J48,"")</f>
      </c>
      <c r="AP48" s="111">
        <f>IF(AND(OR(E48=3,E48=0),G48=1,F48=0),J48,"")</f>
      </c>
      <c r="AQ48" s="111">
        <f>IF(AND(OR(E48=3,E48=0),G48=2,F48=0),J48,"")</f>
      </c>
      <c r="AR48" s="111">
        <f>IF(AND(OR(E48=3,E48=0),G48=3,F48=0),J48,"")</f>
      </c>
      <c r="AS48" s="111">
        <f>IF(AND(OR(E48=3,E48=0),G48=1,F48=1),J48,"")</f>
      </c>
      <c r="AT48" s="111">
        <f>IF(AND(OR(E48=3,E48=0),G48=2,F48=1),J48,"")</f>
      </c>
      <c r="AU48" s="111">
        <f>IF(AND(OR(E48=3,E48=0),G48=3,F48=1),J48,"")</f>
      </c>
    </row>
    <row customHeight="true" ht="19" r="49">
      <c r="A49" s="99" t="str">
        <v>ふわふわなお面？（小熊）</v>
      </c>
      <c r="B49" s="99" t="str"/>
      <c r="C49" s="99" t="str"/>
      <c r="D49" s="116">
        <f>持有情况!AU40-ROW()*1e-05</f>
      </c>
      <c r="E49" s="117">
        <v>0</v>
      </c>
      <c r="F49" s="116">
        <v>1</v>
      </c>
      <c r="G49" s="116">
        <v>2</v>
      </c>
      <c r="H49" s="117">
        <v>0</v>
      </c>
      <c r="I49" s="1" t="str"/>
      <c r="J49" s="116">
        <f>INT(45+10*路线!B31+13*路线!B18+30)-ROW()*1e-05</f>
      </c>
      <c r="K49" s="1" t="str"/>
      <c r="L49" s="111">
        <f>IF(AND(OR(E49=1,E49=0),G49=1),D49,"")</f>
      </c>
      <c r="M49" s="111">
        <f>IF(AND(OR(E49=2,E49=0),G49=1),D49,"")</f>
      </c>
      <c r="N49" s="111">
        <f>IF(AND(OR(E49=3,E49=0),G49=1),D49,"")</f>
      </c>
      <c r="O49" s="111">
        <f>IF(AND(OR(E49=1,E49=0),G49=2),D49,"")</f>
      </c>
      <c r="P49" s="111">
        <f>IF(AND(OR(E49=2,E49=0),G49=2),D49,"")</f>
      </c>
      <c r="Q49" s="111">
        <f>IF(AND(OR(E49=3,E49=0),G49=2),D49,"")</f>
      </c>
      <c r="R49" s="111">
        <f>IF(AND(OR(E49=1,E49=0),G49=3),D49,"")</f>
      </c>
      <c r="S49" s="111">
        <f>IF(AND(OR(E49=2,E49=0),G49=3),D49,"")</f>
      </c>
      <c r="T49" s="111">
        <f>IF(AND(OR(E49=3,E49=0),G49=3),D49,"")</f>
      </c>
      <c r="U49" s="111">
        <f>IF(AND(OR(E49=1,E49=0),G49=1,F49=1),D49,"")</f>
      </c>
      <c r="V49" s="111">
        <f>IF(AND(OR(E49=1,E49=0),G49=2,F49=1),D49,"")</f>
      </c>
      <c r="W49" s="111">
        <f>IF(AND(OR(E49=1,E49=0),G49=3,F49=1),D49,"")</f>
      </c>
      <c r="X49" s="111">
        <f>IF(AND(OR(E49=2,E49=0),G49=1,F49=1),D49,"")</f>
      </c>
      <c r="Y49" s="111">
        <f>IF(AND(OR(E49=2,E49=0),G49=2,F49=1),D49,"")</f>
      </c>
      <c r="Z49" s="111">
        <f>IF(AND(OR(E49=2,E49=0),G49=3,F49=1),D49,"")</f>
      </c>
      <c r="AA49" s="111">
        <f>IF(AND(OR(E49=3,E49=0),G49=1,F49=1),D49,"")</f>
      </c>
      <c r="AB49" s="111">
        <f>IF(AND(OR(E49=3,E49=0),G49=2,F49=1),D49,"")</f>
      </c>
      <c r="AC49" s="111">
        <f>IF(AND(OR(E49=3,E49=0),G49=3,F49=1),D49,"")</f>
      </c>
      <c r="AD49" s="111">
        <f>IF(AND(OR(E49=1,E49=0),G49=1,F49=0),J49,"")</f>
      </c>
      <c r="AE49" s="111">
        <f>IF(AND(OR(E49=1,E49=0),G49=2,F49=0),J49,"")</f>
      </c>
      <c r="AF49" s="111">
        <f>IF(AND(OR(E49=1,E49=0),G49=3,F49=0),J49,"")</f>
      </c>
      <c r="AG49" s="111">
        <f>IF(AND(OR(E49=1,E49=0),G49=1,F49=1),J49,"")</f>
      </c>
      <c r="AH49" s="111">
        <f>IF(AND(OR(E49=1,E49=0),G49=2,F49=1),J49,"")</f>
      </c>
      <c r="AI49" s="111">
        <f>IF(AND(OR(E49=1,E49=0),G49=3,F49=1),J49,"")</f>
      </c>
      <c r="AJ49" s="111">
        <f>IF(AND(OR(E49=2,E49=0),G49=1,F49=0),J49,"")</f>
      </c>
      <c r="AK49" s="111">
        <f>IF(AND(OR(E49=2,E49=0),G49=2,F49=0),J49,"")</f>
      </c>
      <c r="AL49" s="111">
        <f>IF(AND(OR(E49=2,E49=0),G49=3,F49=0),J49,"")</f>
      </c>
      <c r="AM49" s="111">
        <f>IF(AND(OR(E49=2,E49=0),G49=1,F49=1),J49,"")</f>
      </c>
      <c r="AN49" s="111">
        <f>IF(AND(OR(E49=2,E49=0),G49=2,F49=1),J49,"")</f>
      </c>
      <c r="AO49" s="111">
        <f>IF(AND(OR(E49=2,E49=0),G49=3,F49=1),J49,"")</f>
      </c>
      <c r="AP49" s="111">
        <f>IF(AND(OR(E49=3,E49=0),G49=1,F49=0),J49,"")</f>
      </c>
      <c r="AQ49" s="111">
        <f>IF(AND(OR(E49=3,E49=0),G49=2,F49=0),J49,"")</f>
      </c>
      <c r="AR49" s="111">
        <f>IF(AND(OR(E49=3,E49=0),G49=3,F49=0),J49,"")</f>
      </c>
      <c r="AS49" s="111">
        <f>IF(AND(OR(E49=3,E49=0),G49=1,F49=1),J49,"")</f>
      </c>
      <c r="AT49" s="111">
        <f>IF(AND(OR(E49=3,E49=0),G49=2,F49=1),J49,"")</f>
      </c>
      <c r="AU49" s="111">
        <f>IF(AND(OR(E49=3,E49=0),G49=3,F49=1),J49,"")</f>
      </c>
    </row>
    <row customHeight="true" ht="19" r="50">
      <c r="A50" s="86" t="str">
        <v>りっぱなすすき！（麦穗）</v>
      </c>
      <c r="B50" s="86" t="str"/>
      <c r="C50" s="86" t="str"/>
      <c r="D50" s="116">
        <f>持有情况!BE46-ROW()*1e-05</f>
      </c>
      <c r="E50" s="116">
        <v>2</v>
      </c>
      <c r="F50" s="117">
        <v>0</v>
      </c>
      <c r="G50" s="116">
        <v>3</v>
      </c>
      <c r="H50" s="117">
        <v>0</v>
      </c>
      <c r="I50" s="1" t="str"/>
      <c r="J50" s="116">
        <f>INT(45+10*路线!B31+11*路线!B34+13*路线!B18+30)-ROW()*1e-05</f>
      </c>
      <c r="K50" s="1" t="str"/>
      <c r="L50" s="111">
        <f>IF(AND(OR(E50=1,E50=0),G50=1),D50,"")</f>
      </c>
      <c r="M50" s="111">
        <f>IF(AND(OR(E50=2,E50=0),G50=1),D50,"")</f>
      </c>
      <c r="N50" s="111">
        <f>IF(AND(OR(E50=3,E50=0),G50=1),D50,"")</f>
      </c>
      <c r="O50" s="111">
        <f>IF(AND(OR(E50=1,E50=0),G50=2),D50,"")</f>
      </c>
      <c r="P50" s="111">
        <f>IF(AND(OR(E50=2,E50=0),G50=2),D50,"")</f>
      </c>
      <c r="Q50" s="111">
        <f>IF(AND(OR(E50=3,E50=0),G50=2),D50,"")</f>
      </c>
      <c r="R50" s="111">
        <f>IF(AND(OR(E50=1,E50=0),G50=3),D50,"")</f>
      </c>
      <c r="S50" s="111">
        <f>IF(AND(OR(E50=2,E50=0),G50=3),D50,"")</f>
      </c>
      <c r="T50" s="111">
        <f>IF(AND(OR(E50=3,E50=0),G50=3),D50,"")</f>
      </c>
      <c r="U50" s="111">
        <f>IF(AND(OR(E50=1,E50=0),G50=1,F50=1),D50,"")</f>
      </c>
      <c r="V50" s="111">
        <f>IF(AND(OR(E50=1,E50=0),G50=2,F50=1),D50,"")</f>
      </c>
      <c r="W50" s="111">
        <f>IF(AND(OR(E50=1,E50=0),G50=3,F50=1),D50,"")</f>
      </c>
      <c r="X50" s="111">
        <f>IF(AND(OR(E50=2,E50=0),G50=1,F50=1),D50,"")</f>
      </c>
      <c r="Y50" s="111">
        <f>IF(AND(OR(E50=2,E50=0),G50=2,F50=1),D50,"")</f>
      </c>
      <c r="Z50" s="111">
        <f>IF(AND(OR(E50=2,E50=0),G50=3,F50=1),D50,"")</f>
      </c>
      <c r="AA50" s="111">
        <f>IF(AND(OR(E50=3,E50=0),G50=1,F50=1),D50,"")</f>
      </c>
      <c r="AB50" s="111">
        <f>IF(AND(OR(E50=3,E50=0),G50=2,F50=1),D50,"")</f>
      </c>
      <c r="AC50" s="111">
        <f>IF(AND(OR(E50=3,E50=0),G50=3,F50=1),D50,"")</f>
      </c>
      <c r="AD50" s="111">
        <f>IF(AND(OR(E50=1,E50=0),G50=1,F50=0),J50,"")</f>
      </c>
      <c r="AE50" s="111">
        <f>IF(AND(OR(E50=1,E50=0),G50=2,F50=0),J50,"")</f>
      </c>
      <c r="AF50" s="111">
        <f>IF(AND(OR(E50=1,E50=0),G50=3,F50=0),J50,"")</f>
      </c>
      <c r="AG50" s="111">
        <f>IF(AND(OR(E50=1,E50=0),G50=1,F50=1),J50,"")</f>
      </c>
      <c r="AH50" s="111">
        <f>IF(AND(OR(E50=1,E50=0),G50=2,F50=1),J50,"")</f>
      </c>
      <c r="AI50" s="111">
        <f>IF(AND(OR(E50=1,E50=0),G50=3,F50=1),J50,"")</f>
      </c>
      <c r="AJ50" s="111">
        <f>IF(AND(OR(E50=2,E50=0),G50=1,F50=0),J50,"")</f>
      </c>
      <c r="AK50" s="111">
        <f>IF(AND(OR(E50=2,E50=0),G50=2,F50=0),J50,"")</f>
      </c>
      <c r="AL50" s="111">
        <f>IF(AND(OR(E50=2,E50=0),G50=3,F50=0),J50,"")</f>
      </c>
      <c r="AM50" s="111">
        <f>IF(AND(OR(E50=2,E50=0),G50=1,F50=1),J50,"")</f>
      </c>
      <c r="AN50" s="111">
        <f>IF(AND(OR(E50=2,E50=0),G50=2,F50=1),J50,"")</f>
      </c>
      <c r="AO50" s="111">
        <f>IF(AND(OR(E50=2,E50=0),G50=3,F50=1),J50,"")</f>
      </c>
      <c r="AP50" s="111">
        <f>IF(AND(OR(E50=3,E50=0),G50=1,F50=0),J50,"")</f>
      </c>
      <c r="AQ50" s="111">
        <f>IF(AND(OR(E50=3,E50=0),G50=2,F50=0),J50,"")</f>
      </c>
      <c r="AR50" s="111">
        <f>IF(AND(OR(E50=3,E50=0),G50=3,F50=0),J50,"")</f>
      </c>
      <c r="AS50" s="111">
        <f>IF(AND(OR(E50=3,E50=0),G50=1,F50=1),J50,"")</f>
      </c>
      <c r="AT50" s="111">
        <f>IF(AND(OR(E50=3,E50=0),G50=2,F50=1),J50,"")</f>
      </c>
      <c r="AU50" s="111">
        <f>IF(AND(OR(E50=3,E50=0),G50=3,F50=1),J50,"")</f>
      </c>
    </row>
    <row customHeight="true" ht="19" r="51">
      <c r="A51" s="75" t="str">
        <v>あら、奇遇ね（红过牌）</v>
      </c>
      <c r="B51" s="75" t="str"/>
      <c r="C51" s="75" t="str"/>
      <c r="D51" s="121">
        <f>持有情况!G4-ROW()*1e-05</f>
      </c>
      <c r="E51" s="117">
        <v>0</v>
      </c>
      <c r="F51" s="117">
        <v>0</v>
      </c>
      <c r="G51" s="116">
        <v>1</v>
      </c>
      <c r="H51" s="116">
        <v>1</v>
      </c>
      <c r="I51" s="111" t="str">
        <v>红过牌</v>
      </c>
      <c r="J51" s="116">
        <f>INT(60+6*路线!B17+7*路线!B30+40)-ROW()*1e-05</f>
      </c>
      <c r="K51" s="1" t="str"/>
      <c r="L51" s="111">
        <f>IF(AND(OR(E51=1,E51=0),G51=1),D51,"")</f>
      </c>
      <c r="M51" s="111">
        <f>IF(AND(OR(E51=2,E51=0),G51=1),D51,"")</f>
      </c>
      <c r="N51" s="111">
        <f>IF(AND(OR(E51=3,E51=0),G51=1),D51,"")</f>
      </c>
      <c r="O51" s="111">
        <f>IF(AND(OR(E51=1,E51=0),G51=2),D51,"")</f>
      </c>
      <c r="P51" s="111">
        <f>IF(AND(OR(E51=2,E51=0),G51=2),D51,"")</f>
      </c>
      <c r="Q51" s="111">
        <f>IF(AND(OR(E51=3,E51=0),G51=2),D51,"")</f>
      </c>
      <c r="R51" s="111">
        <f>IF(AND(OR(E51=1,E51=0),G51=3),D51,"")</f>
      </c>
      <c r="S51" s="111">
        <f>IF(AND(OR(E51=2,E51=0),G51=3),D51,"")</f>
      </c>
      <c r="T51" s="111">
        <f>IF(AND(OR(E51=3,E51=0),G51=3),D51,"")</f>
      </c>
      <c r="U51" s="111">
        <f>IF(AND(OR(E51=1,E51=0),G51=1,F51=1),D51,"")</f>
      </c>
      <c r="V51" s="111">
        <f>IF(AND(OR(E51=1,E51=0),G51=2,F51=1),D51,"")</f>
      </c>
      <c r="W51" s="111">
        <f>IF(AND(OR(E51=1,E51=0),G51=3,F51=1),D51,"")</f>
      </c>
      <c r="X51" s="111">
        <f>IF(AND(OR(E51=2,E51=0),G51=1,F51=1),D51,"")</f>
      </c>
      <c r="Y51" s="111">
        <f>IF(AND(OR(E51=2,E51=0),G51=2,F51=1),D51,"")</f>
      </c>
      <c r="Z51" s="111">
        <f>IF(AND(OR(E51=2,E51=0),G51=3,F51=1),D51,"")</f>
      </c>
      <c r="AA51" s="111">
        <f>IF(AND(OR(E51=3,E51=0),G51=1,F51=1),D51,"")</f>
      </c>
      <c r="AB51" s="111">
        <f>IF(AND(OR(E51=3,E51=0),G51=2,F51=1),D51,"")</f>
      </c>
      <c r="AC51" s="111">
        <f>IF(AND(OR(E51=3,E51=0),G51=3,F51=1),D51,"")</f>
      </c>
      <c r="AD51" s="111">
        <f>IF(AND(OR(E51=1,E51=0),G51=1,F51=0),J51,"")</f>
      </c>
      <c r="AE51" s="111">
        <f>IF(AND(OR(E51=1,E51=0),G51=2,F51=0),J51,"")</f>
      </c>
      <c r="AF51" s="111">
        <f>IF(AND(OR(E51=1,E51=0),G51=3,F51=0),J51,"")</f>
      </c>
      <c r="AG51" s="111">
        <f>IF(AND(OR(E51=1,E51=0),G51=1,F51=1),J51,"")</f>
      </c>
      <c r="AH51" s="111">
        <f>IF(AND(OR(E51=1,E51=0),G51=2,F51=1),J51,"")</f>
      </c>
      <c r="AI51" s="111">
        <f>IF(AND(OR(E51=1,E51=0),G51=3,F51=1),J51,"")</f>
      </c>
      <c r="AJ51" s="111">
        <f>IF(AND(OR(E51=2,E51=0),G51=1,F51=0),J51,"")</f>
      </c>
      <c r="AK51" s="111">
        <f>IF(AND(OR(E51=2,E51=0),G51=2,F51=0),J51,"")</f>
      </c>
      <c r="AL51" s="111">
        <f>IF(AND(OR(E51=2,E51=0),G51=3,F51=0),J51,"")</f>
      </c>
      <c r="AM51" s="111">
        <f>IF(AND(OR(E51=2,E51=0),G51=1,F51=1),J51,"")</f>
      </c>
      <c r="AN51" s="111">
        <f>IF(AND(OR(E51=2,E51=0),G51=2,F51=1),J51,"")</f>
      </c>
      <c r="AO51" s="111">
        <f>IF(AND(OR(E51=2,E51=0),G51=3,F51=1),J51,"")</f>
      </c>
      <c r="AP51" s="111">
        <f>IF(AND(OR(E51=3,E51=0),G51=1,F51=0),J51,"")</f>
      </c>
      <c r="AQ51" s="111">
        <f>IF(AND(OR(E51=3,E51=0),G51=2,F51=0),J51,"")</f>
      </c>
      <c r="AR51" s="111">
        <f>IF(AND(OR(E51=3,E51=0),G51=3,F51=0),J51,"")</f>
      </c>
      <c r="AS51" s="111">
        <f>IF(AND(OR(E51=3,E51=0),G51=1,F51=1),J51,"")</f>
      </c>
      <c r="AT51" s="111">
        <f>IF(AND(OR(E51=3,E51=0),G51=2,F51=1),J51,"")</f>
      </c>
      <c r="AU51" s="111">
        <f>IF(AND(OR(E51=3,E51=0),G51=3,F51=1),J51,"")</f>
      </c>
    </row>
    <row customHeight="true" ht="19" r="52">
      <c r="A52" s="75" t="str">
        <v>まごころを込めて（巧可琴音）</v>
      </c>
      <c r="B52" s="75" t="str"/>
      <c r="C52" s="75" t="str"/>
      <c r="D52" s="116">
        <f>持有情况!AK70-ROW()*1e-05</f>
      </c>
      <c r="E52" s="116">
        <v>2</v>
      </c>
      <c r="F52" s="117">
        <v>0</v>
      </c>
      <c r="G52" s="116">
        <v>1</v>
      </c>
      <c r="H52" s="116">
        <v>1</v>
      </c>
      <c r="I52" s="111" t="str">
        <v>巧可琴音</v>
      </c>
      <c r="J52" s="116">
        <f>IF(路线!C6="计算",INT((6.4/100)*路线!B12+5*路线!B30+10*路线!B31+30+20)-ROW()*1e-05,INT((6.4/100)*路线!B12+5*路线!B30+10*路线!B31+30)-ROW()*1e-05)</f>
      </c>
      <c r="K52" s="1" t="str"/>
      <c r="L52" s="111">
        <f>IF(AND(OR(E52=1,E52=0),G52=1),D52,"")</f>
      </c>
      <c r="M52" s="111">
        <f>IF(AND(OR(E52=2,E52=0),G52=1),D52,"")</f>
      </c>
      <c r="N52" s="111">
        <f>IF(AND(OR(E52=3,E52=0),G52=1),D52,"")</f>
      </c>
      <c r="O52" s="111">
        <f>IF(AND(OR(E52=1,E52=0),G52=2),D52,"")</f>
      </c>
      <c r="P52" s="111">
        <f>IF(AND(OR(E52=2,E52=0),G52=2),D52,"")</f>
      </c>
      <c r="Q52" s="111">
        <f>IF(AND(OR(E52=3,E52=0),G52=2),D52,"")</f>
      </c>
      <c r="R52" s="111">
        <f>IF(AND(OR(E52=1,E52=0),G52=3),D52,"")</f>
      </c>
      <c r="S52" s="111">
        <f>IF(AND(OR(E52=2,E52=0),G52=3),D52,"")</f>
      </c>
      <c r="T52" s="111">
        <f>IF(AND(OR(E52=3,E52=0),G52=3),D52,"")</f>
      </c>
      <c r="U52" s="111">
        <f>IF(AND(OR(E52=1,E52=0),G52=1,F52=1),D52,"")</f>
      </c>
      <c r="V52" s="111">
        <f>IF(AND(OR(E52=1,E52=0),G52=2,F52=1),D52,"")</f>
      </c>
      <c r="W52" s="111">
        <f>IF(AND(OR(E52=1,E52=0),G52=3,F52=1),D52,"")</f>
      </c>
      <c r="X52" s="111">
        <f>IF(AND(OR(E52=2,E52=0),G52=1,F52=1),D52,"")</f>
      </c>
      <c r="Y52" s="111">
        <f>IF(AND(OR(E52=2,E52=0),G52=2,F52=1),D52,"")</f>
      </c>
      <c r="Z52" s="111">
        <f>IF(AND(OR(E52=2,E52=0),G52=3,F52=1),D52,"")</f>
      </c>
      <c r="AA52" s="111">
        <f>IF(AND(OR(E52=3,E52=0),G52=1,F52=1),D52,"")</f>
      </c>
      <c r="AB52" s="111">
        <f>IF(AND(OR(E52=3,E52=0),G52=2,F52=1),D52,"")</f>
      </c>
      <c r="AC52" s="111">
        <f>IF(AND(OR(E52=3,E52=0),G52=3,F52=1),D52,"")</f>
      </c>
      <c r="AD52" s="111">
        <f>IF(AND(OR(E52=1,E52=0),G52=1,F52=0),J52,"")</f>
      </c>
      <c r="AE52" s="111">
        <f>IF(AND(OR(E52=1,E52=0),G52=2,F52=0),J52,"")</f>
      </c>
      <c r="AF52" s="111">
        <f>IF(AND(OR(E52=1,E52=0),G52=3,F52=0),J52,"")</f>
      </c>
      <c r="AG52" s="111">
        <f>IF(AND(OR(E52=1,E52=0),G52=1,F52=1),J52,"")</f>
      </c>
      <c r="AH52" s="111">
        <f>IF(AND(OR(E52=1,E52=0),G52=2,F52=1),J52,"")</f>
      </c>
      <c r="AI52" s="111">
        <f>IF(AND(OR(E52=1,E52=0),G52=3,F52=1),J52,"")</f>
      </c>
      <c r="AJ52" s="111">
        <f>IF(AND(OR(E52=2,E52=0),G52=1,F52=0),J52,"")</f>
      </c>
      <c r="AK52" s="111">
        <f>IF(AND(OR(E52=2,E52=0),G52=2,F52=0),J52,"")</f>
      </c>
      <c r="AL52" s="111">
        <f>IF(AND(OR(E52=2,E52=0),G52=3,F52=0),J52,"")</f>
      </c>
      <c r="AM52" s="111">
        <f>IF(AND(OR(E52=2,E52=0),G52=1,F52=1),J52,"")</f>
      </c>
      <c r="AN52" s="111">
        <f>IF(AND(OR(E52=2,E52=0),G52=2,F52=1),J52,"")</f>
      </c>
      <c r="AO52" s="111">
        <f>IF(AND(OR(E52=2,E52=0),G52=3,F52=1),J52,"")</f>
      </c>
      <c r="AP52" s="111">
        <f>IF(AND(OR(E52=3,E52=0),G52=1,F52=0),J52,"")</f>
      </c>
      <c r="AQ52" s="111">
        <f>IF(AND(OR(E52=3,E52=0),G52=2,F52=0),J52,"")</f>
      </c>
      <c r="AR52" s="111">
        <f>IF(AND(OR(E52=3,E52=0),G52=3,F52=0),J52,"")</f>
      </c>
      <c r="AS52" s="111">
        <f>IF(AND(OR(E52=3,E52=0),G52=1,F52=1),J52,"")</f>
      </c>
      <c r="AT52" s="111">
        <f>IF(AND(OR(E52=3,E52=0),G52=2,F52=1),J52,"")</f>
      </c>
      <c r="AU52" s="111">
        <f>IF(AND(OR(E52=3,E52=0),G52=3,F52=1),J52,"")</f>
      </c>
    </row>
    <row customHeight="true" ht="19" r="53">
      <c r="A53" s="99" t="str">
        <v>そろそろ焼けたかな？（红薯）</v>
      </c>
      <c r="B53" s="99" t="str"/>
      <c r="C53" s="99" t="str"/>
      <c r="D53" s="116">
        <f>持有情况!Q64-ROW()*1e-05</f>
      </c>
      <c r="E53" s="116">
        <v>2</v>
      </c>
      <c r="F53" s="116">
        <v>1</v>
      </c>
      <c r="G53" s="116">
        <v>2</v>
      </c>
      <c r="H53" s="116">
        <v>1</v>
      </c>
      <c r="I53" s="111" t="str">
        <v>红薯</v>
      </c>
      <c r="J53" s="116">
        <f>IF(路线!C6="计算",INT(60+17*路线!B18+17*路线!B34+40+20)-ROW()*1e-05,INT(60+17*路线!B18+17*路线!B34+40)-ROW()*1e-05)</f>
      </c>
      <c r="K53" s="1" t="str"/>
      <c r="L53" s="111">
        <f>IF(AND(OR(E53=1,E53=0),G53=1),D53,"")</f>
      </c>
      <c r="M53" s="111">
        <f>IF(AND(OR(E53=2,E53=0),G53=1),D53,"")</f>
      </c>
      <c r="N53" s="111">
        <f>IF(AND(OR(E53=3,E53=0),G53=1),D53,"")</f>
      </c>
      <c r="O53" s="111">
        <f>IF(AND(OR(E53=1,E53=0),G53=2),D53,"")</f>
      </c>
      <c r="P53" s="111">
        <f>IF(AND(OR(E53=2,E53=0),G53=2),D53,"")</f>
      </c>
      <c r="Q53" s="111">
        <f>IF(AND(OR(E53=3,E53=0),G53=2),D53,"")</f>
      </c>
      <c r="R53" s="111">
        <f>IF(AND(OR(E53=1,E53=0),G53=3),D53,"")</f>
      </c>
      <c r="S53" s="111">
        <f>IF(AND(OR(E53=2,E53=0),G53=3),D53,"")</f>
      </c>
      <c r="T53" s="111">
        <f>IF(AND(OR(E53=3,E53=0),G53=3),D53,"")</f>
      </c>
      <c r="U53" s="111">
        <f>IF(AND(OR(E53=1,E53=0),G53=1,F53=1),D53,"")</f>
      </c>
      <c r="V53" s="111">
        <f>IF(AND(OR(E53=1,E53=0),G53=2,F53=1),D53,"")</f>
      </c>
      <c r="W53" s="111">
        <f>IF(AND(OR(E53=1,E53=0),G53=3,F53=1),D53,"")</f>
      </c>
      <c r="X53" s="111">
        <f>IF(AND(OR(E53=2,E53=0),G53=1,F53=1),D53,"")</f>
      </c>
      <c r="Y53" s="111">
        <f>IF(AND(OR(E53=2,E53=0),G53=2,F53=1),D53,"")</f>
      </c>
      <c r="Z53" s="111">
        <f>IF(AND(OR(E53=2,E53=0),G53=3,F53=1),D53,"")</f>
      </c>
      <c r="AA53" s="111">
        <f>IF(AND(OR(E53=3,E53=0),G53=1,F53=1),D53,"")</f>
      </c>
      <c r="AB53" s="111">
        <f>IF(AND(OR(E53=3,E53=0),G53=2,F53=1),D53,"")</f>
      </c>
      <c r="AC53" s="111">
        <f>IF(AND(OR(E53=3,E53=0),G53=3,F53=1),D53,"")</f>
      </c>
      <c r="AD53" s="111">
        <f>IF(AND(OR(E53=1,E53=0),G53=1,F53=0),J53,"")</f>
      </c>
      <c r="AE53" s="111">
        <f>IF(AND(OR(E53=1,E53=0),G53=2,F53=0),J53,"")</f>
      </c>
      <c r="AF53" s="111">
        <f>IF(AND(OR(E53=1,E53=0),G53=3,F53=0),J53,"")</f>
      </c>
      <c r="AG53" s="111">
        <f>IF(AND(OR(E53=1,E53=0),G53=1,F53=1),J53,"")</f>
      </c>
      <c r="AH53" s="111">
        <f>IF(AND(OR(E53=1,E53=0),G53=2,F53=1),J53,"")</f>
      </c>
      <c r="AI53" s="111">
        <f>IF(AND(OR(E53=1,E53=0),G53=3,F53=1),J53,"")</f>
      </c>
      <c r="AJ53" s="111">
        <f>IF(AND(OR(E53=2,E53=0),G53=1,F53=0),J53,"")</f>
      </c>
      <c r="AK53" s="111">
        <f>IF(AND(OR(E53=2,E53=0),G53=2,F53=0),J53,"")</f>
      </c>
      <c r="AL53" s="111">
        <f>IF(AND(OR(E53=2,E53=0),G53=3,F53=0),J53,"")</f>
      </c>
      <c r="AM53" s="111">
        <f>IF(AND(OR(E53=2,E53=0),G53=1,F53=1),J53,"")</f>
      </c>
      <c r="AN53" s="111">
        <f>IF(AND(OR(E53=2,E53=0),G53=2,F53=1),J53,"")</f>
      </c>
      <c r="AO53" s="111">
        <f>IF(AND(OR(E53=2,E53=0),G53=3,F53=1),J53,"")</f>
      </c>
      <c r="AP53" s="111">
        <f>IF(AND(OR(E53=3,E53=0),G53=1,F53=0),J53,"")</f>
      </c>
      <c r="AQ53" s="111">
        <f>IF(AND(OR(E53=3,E53=0),G53=2,F53=0),J53,"")</f>
      </c>
      <c r="AR53" s="111">
        <f>IF(AND(OR(E53=3,E53=0),G53=3,F53=0),J53,"")</f>
      </c>
      <c r="AS53" s="111">
        <f>IF(AND(OR(E53=3,E53=0),G53=1,F53=1),J53,"")</f>
      </c>
      <c r="AT53" s="111">
        <f>IF(AND(OR(E53=3,E53=0),G53=2,F53=1),J53,"")</f>
      </c>
      <c r="AU53" s="111">
        <f>IF(AND(OR(E53=3,E53=0),G53=3,F53=1),J53,"")</f>
      </c>
    </row>
    <row customHeight="true" ht="19" r="54">
      <c r="A54" s="99" t="str">
        <v>トンボをつかまえて（小秋见）</v>
      </c>
      <c r="B54" s="99" t="str"/>
      <c r="C54" s="99" t="str"/>
      <c r="D54" s="116">
        <f>持有情况!AU58-ROW()*1e-05</f>
      </c>
      <c r="E54" s="116">
        <v>1</v>
      </c>
      <c r="F54" s="117">
        <v>0</v>
      </c>
      <c r="G54" s="116">
        <v>2</v>
      </c>
      <c r="H54" s="116">
        <v>1</v>
      </c>
      <c r="I54" s="111" t="str">
        <v>小秋见</v>
      </c>
      <c r="J54" s="116">
        <f>INT((6.4/100)*路线!B12+3*(路线!B28+路线!B29)+17+13*路线!B18+30)-ROW()*1e-05</f>
      </c>
      <c r="K54" s="1" t="str"/>
      <c r="L54" s="111">
        <f>IF(AND(OR(E54=1,E54=0),G54=1),D54,"")</f>
      </c>
      <c r="M54" s="111">
        <f>IF(AND(OR(E54=2,E54=0),G54=1),D54,"")</f>
      </c>
      <c r="N54" s="111">
        <f>IF(AND(OR(E54=3,E54=0),G54=1),D54,"")</f>
      </c>
      <c r="O54" s="111">
        <f>IF(AND(OR(E54=1,E54=0),G54=2),D54,"")</f>
      </c>
      <c r="P54" s="111">
        <f>IF(AND(OR(E54=2,E54=0),G54=2),D54,"")</f>
      </c>
      <c r="Q54" s="111">
        <f>IF(AND(OR(E54=3,E54=0),G54=2),D54,"")</f>
      </c>
      <c r="R54" s="111">
        <f>IF(AND(OR(E54=1,E54=0),G54=3),D54,"")</f>
      </c>
      <c r="S54" s="111">
        <f>IF(AND(OR(E54=2,E54=0),G54=3),D54,"")</f>
      </c>
      <c r="T54" s="111">
        <f>IF(AND(OR(E54=3,E54=0),G54=3),D54,"")</f>
      </c>
      <c r="U54" s="111">
        <f>IF(AND(OR(E54=1,E54=0),G54=1,F54=1),D54,"")</f>
      </c>
      <c r="V54" s="111">
        <f>IF(AND(OR(E54=1,E54=0),G54=2,F54=1),D54,"")</f>
      </c>
      <c r="W54" s="111">
        <f>IF(AND(OR(E54=1,E54=0),G54=3,F54=1),D54,"")</f>
      </c>
      <c r="X54" s="111">
        <f>IF(AND(OR(E54=2,E54=0),G54=1,F54=1),D54,"")</f>
      </c>
      <c r="Y54" s="111">
        <f>IF(AND(OR(E54=2,E54=0),G54=2,F54=1),D54,"")</f>
      </c>
      <c r="Z54" s="111">
        <f>IF(AND(OR(E54=2,E54=0),G54=3,F54=1),D54,"")</f>
      </c>
      <c r="AA54" s="111">
        <f>IF(AND(OR(E54=3,E54=0),G54=1,F54=1),D54,"")</f>
      </c>
      <c r="AB54" s="111">
        <f>IF(AND(OR(E54=3,E54=0),G54=2,F54=1),D54,"")</f>
      </c>
      <c r="AC54" s="111">
        <f>IF(AND(OR(E54=3,E54=0),G54=3,F54=1),D54,"")</f>
      </c>
      <c r="AD54" s="111">
        <f>IF(AND(OR(E54=1,E54=0),G54=1,F54=0),J54,"")</f>
      </c>
      <c r="AE54" s="111">
        <f>IF(AND(OR(E54=1,E54=0),G54=2,F54=0),J54,"")</f>
      </c>
      <c r="AF54" s="111">
        <f>IF(AND(OR(E54=1,E54=0),G54=3,F54=0),J54,"")</f>
      </c>
      <c r="AG54" s="111">
        <f>IF(AND(OR(E54=1,E54=0),G54=1,F54=1),J54,"")</f>
      </c>
      <c r="AH54" s="111">
        <f>IF(AND(OR(E54=1,E54=0),G54=2,F54=1),J54,"")</f>
      </c>
      <c r="AI54" s="111">
        <f>IF(AND(OR(E54=1,E54=0),G54=3,F54=1),J54,"")</f>
      </c>
      <c r="AJ54" s="111">
        <f>IF(AND(OR(E54=2,E54=0),G54=1,F54=0),J54,"")</f>
      </c>
      <c r="AK54" s="111">
        <f>IF(AND(OR(E54=2,E54=0),G54=2,F54=0),J54,"")</f>
      </c>
      <c r="AL54" s="111">
        <f>IF(AND(OR(E54=2,E54=0),G54=3,F54=0),J54,"")</f>
      </c>
      <c r="AM54" s="111">
        <f>IF(AND(OR(E54=2,E54=0),G54=1,F54=1),J54,"")</f>
      </c>
      <c r="AN54" s="111">
        <f>IF(AND(OR(E54=2,E54=0),G54=2,F54=1),J54,"")</f>
      </c>
      <c r="AO54" s="111">
        <f>IF(AND(OR(E54=2,E54=0),G54=3,F54=1),J54,"")</f>
      </c>
      <c r="AP54" s="111">
        <f>IF(AND(OR(E54=3,E54=0),G54=1,F54=0),J54,"")</f>
      </c>
      <c r="AQ54" s="111">
        <f>IF(AND(OR(E54=3,E54=0),G54=2,F54=0),J54,"")</f>
      </c>
      <c r="AR54" s="111">
        <f>IF(AND(OR(E54=3,E54=0),G54=3,F54=0),J54,"")</f>
      </c>
      <c r="AS54" s="111">
        <f>IF(AND(OR(E54=3,E54=0),G54=1,F54=1),J54,"")</f>
      </c>
      <c r="AT54" s="111">
        <f>IF(AND(OR(E54=3,E54=0),G54=2,F54=1),J54,"")</f>
      </c>
      <c r="AU54" s="111">
        <f>IF(AND(OR(E54=3,E54=0),G54=3,F54=1),J54,"")</f>
      </c>
    </row>
    <row customHeight="true" ht="19" r="55">
      <c r="A55" s="75" t="str">
        <v>屈辱の2位（马给马给）</v>
      </c>
      <c r="B55" s="75" t="str"/>
      <c r="C55" s="75" t="str"/>
      <c r="D55" s="116">
        <f>持有情况!AK76-ROW()*1e-05</f>
      </c>
      <c r="E55" s="116">
        <v>2</v>
      </c>
      <c r="F55" s="117">
        <v>0</v>
      </c>
      <c r="G55" s="116">
        <v>1</v>
      </c>
      <c r="H55" s="117">
        <v>0</v>
      </c>
      <c r="I55" s="1" t="str"/>
      <c r="J55" s="116">
        <f>INT(45+10*路线!B31+8*路线!B35+17+30)-ROW()*1e-05</f>
      </c>
      <c r="K55" s="1" t="str"/>
      <c r="L55" s="111">
        <f>IF(AND(OR(E55=1,E55=0),G55=1),D55,"")</f>
      </c>
      <c r="M55" s="111">
        <f>IF(AND(OR(E55=2,E55=0),G55=1),D55,"")</f>
      </c>
      <c r="N55" s="111">
        <f>IF(AND(OR(E55=3,E55=0),G55=1),D55,"")</f>
      </c>
      <c r="O55" s="111">
        <f>IF(AND(OR(E55=1,E55=0),G55=2),D55,"")</f>
      </c>
      <c r="P55" s="111">
        <f>IF(AND(OR(E55=2,E55=0),G55=2),D55,"")</f>
      </c>
      <c r="Q55" s="111">
        <f>IF(AND(OR(E55=3,E55=0),G55=2),D55,"")</f>
      </c>
      <c r="R55" s="111">
        <f>IF(AND(OR(E55=1,E55=0),G55=3),D55,"")</f>
      </c>
      <c r="S55" s="111">
        <f>IF(AND(OR(E55=2,E55=0),G55=3),D55,"")</f>
      </c>
      <c r="T55" s="111">
        <f>IF(AND(OR(E55=3,E55=0),G55=3),D55,"")</f>
      </c>
      <c r="U55" s="111">
        <f>IF(AND(OR(E55=1,E55=0),G55=1,F55=1),D55,"")</f>
      </c>
      <c r="V55" s="111">
        <f>IF(AND(OR(E55=1,E55=0),G55=2,F55=1),D55,"")</f>
      </c>
      <c r="W55" s="111">
        <f>IF(AND(OR(E55=1,E55=0),G55=3,F55=1),D55,"")</f>
      </c>
      <c r="X55" s="111">
        <f>IF(AND(OR(E55=2,E55=0),G55=1,F55=1),D55,"")</f>
      </c>
      <c r="Y55" s="111">
        <f>IF(AND(OR(E55=2,E55=0),G55=2,F55=1),D55,"")</f>
      </c>
      <c r="Z55" s="111">
        <f>IF(AND(OR(E55=2,E55=0),G55=3,F55=1),D55,"")</f>
      </c>
      <c r="AA55" s="111">
        <f>IF(AND(OR(E55=3,E55=0),G55=1,F55=1),D55,"")</f>
      </c>
      <c r="AB55" s="111">
        <f>IF(AND(OR(E55=3,E55=0),G55=2,F55=1),D55,"")</f>
      </c>
      <c r="AC55" s="111">
        <f>IF(AND(OR(E55=3,E55=0),G55=3,F55=1),D55,"")</f>
      </c>
      <c r="AD55" s="111">
        <f>IF(AND(OR(E55=1,E55=0),G55=1,F55=0),J55,"")</f>
      </c>
      <c r="AE55" s="111">
        <f>IF(AND(OR(E55=1,E55=0),G55=2,F55=0),J55,"")</f>
      </c>
      <c r="AF55" s="111">
        <f>IF(AND(OR(E55=1,E55=0),G55=3,F55=0),J55,"")</f>
      </c>
      <c r="AG55" s="111">
        <f>IF(AND(OR(E55=1,E55=0),G55=1,F55=1),J55,"")</f>
      </c>
      <c r="AH55" s="111">
        <f>IF(AND(OR(E55=1,E55=0),G55=2,F55=1),J55,"")</f>
      </c>
      <c r="AI55" s="111">
        <f>IF(AND(OR(E55=1,E55=0),G55=3,F55=1),J55,"")</f>
      </c>
      <c r="AJ55" s="111">
        <f>IF(AND(OR(E55=2,E55=0),G55=1,F55=0),J55,"")</f>
      </c>
      <c r="AK55" s="111">
        <f>IF(AND(OR(E55=2,E55=0),G55=2,F55=0),J55,"")</f>
      </c>
      <c r="AL55" s="111">
        <f>IF(AND(OR(E55=2,E55=0),G55=3,F55=0),J55,"")</f>
      </c>
      <c r="AM55" s="111">
        <f>IF(AND(OR(E55=2,E55=0),G55=1,F55=1),J55,"")</f>
      </c>
      <c r="AN55" s="111">
        <f>IF(AND(OR(E55=2,E55=0),G55=2,F55=1),J55,"")</f>
      </c>
      <c r="AO55" s="111">
        <f>IF(AND(OR(E55=2,E55=0),G55=3,F55=1),J55,"")</f>
      </c>
      <c r="AP55" s="111">
        <f>IF(AND(OR(E55=3,E55=0),G55=1,F55=0),J55,"")</f>
      </c>
      <c r="AQ55" s="111">
        <f>IF(AND(OR(E55=3,E55=0),G55=2,F55=0),J55,"")</f>
      </c>
      <c r="AR55" s="111">
        <f>IF(AND(OR(E55=3,E55=0),G55=3,F55=0),J55,"")</f>
      </c>
      <c r="AS55" s="111">
        <f>IF(AND(OR(E55=3,E55=0),G55=1,F55=1),J55,"")</f>
      </c>
      <c r="AT55" s="111">
        <f>IF(AND(OR(E55=3,E55=0),G55=2,F55=1),J55,"")</f>
      </c>
      <c r="AU55" s="111">
        <f>IF(AND(OR(E55=3,E55=0),G55=3,F55=1),J55,"")</f>
      </c>
    </row>
    <row customHeight="true" ht="19" r="56">
      <c r="A56" s="86" t="str">
        <v>虫愛づる王子様（虫爱）</v>
      </c>
      <c r="B56" s="86" t="str"/>
      <c r="C56" s="86" t="str"/>
      <c r="D56" s="116">
        <f>持有情况!BE76-ROW()*1e-05</f>
      </c>
      <c r="E56" s="116">
        <v>3</v>
      </c>
      <c r="F56" s="117">
        <v>0</v>
      </c>
      <c r="G56" s="116">
        <v>3</v>
      </c>
      <c r="H56" s="116">
        <v>1</v>
      </c>
      <c r="I56" s="111" t="str">
        <v>虫爱</v>
      </c>
      <c r="J56" s="116">
        <f>IF(路线!C6="计算",INT(45+3*(路线!B28+路线!B29)+8*路线!B35+10*路线!B31+30+20)-ROW()*1e-05,INT(45+3*(路线!B28+路线!B29)+8*路线!B35+10*路线!B31+30)-ROW()*1e-05)</f>
      </c>
      <c r="K56" s="1" t="str"/>
      <c r="L56" s="111">
        <f>IF(AND(OR(E56=1,E56=0),G56=1),D56,"")</f>
      </c>
      <c r="M56" s="111">
        <f>IF(AND(OR(E56=2,E56=0),G56=1),D56,"")</f>
      </c>
      <c r="N56" s="111">
        <f>IF(AND(OR(E56=3,E56=0),G56=1),D56,"")</f>
      </c>
      <c r="O56" s="111">
        <f>IF(AND(OR(E56=1,E56=0),G56=2),D56,"")</f>
      </c>
      <c r="P56" s="111">
        <f>IF(AND(OR(E56=2,E56=0),G56=2),D56,"")</f>
      </c>
      <c r="Q56" s="111">
        <f>IF(AND(OR(E56=3,E56=0),G56=2),D56,"")</f>
      </c>
      <c r="R56" s="111">
        <f>IF(AND(OR(E56=1,E56=0),G56=3),D56,"")</f>
      </c>
      <c r="S56" s="111">
        <f>IF(AND(OR(E56=2,E56=0),G56=3),D56,"")</f>
      </c>
      <c r="T56" s="111">
        <f>IF(AND(OR(E56=3,E56=0),G56=3),D56,"")</f>
      </c>
      <c r="U56" s="111">
        <f>IF(AND(OR(E56=1,E56=0),G56=1,F56=1),D56,"")</f>
      </c>
      <c r="V56" s="111">
        <f>IF(AND(OR(E56=1,E56=0),G56=2,F56=1),D56,"")</f>
      </c>
      <c r="W56" s="111">
        <f>IF(AND(OR(E56=1,E56=0),G56=3,F56=1),D56,"")</f>
      </c>
      <c r="X56" s="111">
        <f>IF(AND(OR(E56=2,E56=0),G56=1,F56=1),D56,"")</f>
      </c>
      <c r="Y56" s="111">
        <f>IF(AND(OR(E56=2,E56=0),G56=2,F56=1),D56,"")</f>
      </c>
      <c r="Z56" s="111">
        <f>IF(AND(OR(E56=2,E56=0),G56=3,F56=1),D56,"")</f>
      </c>
      <c r="AA56" s="111">
        <f>IF(AND(OR(E56=3,E56=0),G56=1,F56=1),D56,"")</f>
      </c>
      <c r="AB56" s="111">
        <f>IF(AND(OR(E56=3,E56=0),G56=2,F56=1),D56,"")</f>
      </c>
      <c r="AC56" s="111">
        <f>IF(AND(OR(E56=3,E56=0),G56=3,F56=1),D56,"")</f>
      </c>
      <c r="AD56" s="111">
        <f>IF(AND(OR(E56=1,E56=0),G56=1,F56=0),J56,"")</f>
      </c>
      <c r="AE56" s="111">
        <f>IF(AND(OR(E56=1,E56=0),G56=2,F56=0),J56,"")</f>
      </c>
      <c r="AF56" s="111">
        <f>IF(AND(OR(E56=1,E56=0),G56=3,F56=0),J56,"")</f>
      </c>
      <c r="AG56" s="111">
        <f>IF(AND(OR(E56=1,E56=0),G56=1,F56=1),J56,"")</f>
      </c>
      <c r="AH56" s="111">
        <f>IF(AND(OR(E56=1,E56=0),G56=2,F56=1),J56,"")</f>
      </c>
      <c r="AI56" s="111">
        <f>IF(AND(OR(E56=1,E56=0),G56=3,F56=1),J56,"")</f>
      </c>
      <c r="AJ56" s="111">
        <f>IF(AND(OR(E56=2,E56=0),G56=1,F56=0),J56,"")</f>
      </c>
      <c r="AK56" s="111">
        <f>IF(AND(OR(E56=2,E56=0),G56=2,F56=0),J56,"")</f>
      </c>
      <c r="AL56" s="111">
        <f>IF(AND(OR(E56=2,E56=0),G56=3,F56=0),J56,"")</f>
      </c>
      <c r="AM56" s="111">
        <f>IF(AND(OR(E56=2,E56=0),G56=1,F56=1),J56,"")</f>
      </c>
      <c r="AN56" s="111">
        <f>IF(AND(OR(E56=2,E56=0),G56=2,F56=1),J56,"")</f>
      </c>
      <c r="AO56" s="111">
        <f>IF(AND(OR(E56=2,E56=0),G56=3,F56=1),J56,"")</f>
      </c>
      <c r="AP56" s="111">
        <f>IF(AND(OR(E56=3,E56=0),G56=1,F56=0),J56,"")</f>
      </c>
      <c r="AQ56" s="111">
        <f>IF(AND(OR(E56=3,E56=0),G56=2,F56=0),J56,"")</f>
      </c>
      <c r="AR56" s="111">
        <f>IF(AND(OR(E56=3,E56=0),G56=3,F56=0),J56,"")</f>
      </c>
      <c r="AS56" s="111">
        <f>IF(AND(OR(E56=3,E56=0),G56=1,F56=1),J56,"")</f>
      </c>
      <c r="AT56" s="111">
        <f>IF(AND(OR(E56=3,E56=0),G56=2,F56=1),J56,"")</f>
      </c>
      <c r="AU56" s="111">
        <f>IF(AND(OR(E56=3,E56=0),G56=3,F56=1),J56,"")</f>
      </c>
    </row>
    <row customHeight="true" ht="19" r="57">
      <c r="A57" s="75" t="str">
        <v>興味深い飲み物（姐汁）</v>
      </c>
      <c r="B57" s="75" t="str"/>
      <c r="C57" s="75" t="str"/>
      <c r="D57" s="116">
        <f>持有情况!AK58-ROW()*1e-05</f>
      </c>
      <c r="E57" s="116">
        <v>1</v>
      </c>
      <c r="F57" s="116">
        <v>1</v>
      </c>
      <c r="G57" s="116">
        <v>1</v>
      </c>
      <c r="H57" s="116">
        <v>1</v>
      </c>
      <c r="I57" s="111" t="str">
        <v>姐汁</v>
      </c>
      <c r="J57" s="116">
        <f>IF(路线!C6="计算",INT(45+5*路线!B30+13*路线!B18+30+20)-ROW()*1e-05,INT(45+5*路线!B30+13*路线!B18+30)-ROW()*1e-05)</f>
      </c>
      <c r="K57" s="1" t="str"/>
      <c r="L57" s="111">
        <f>IF(AND(OR(E57=1,E57=0),G57=1),D57,"")</f>
      </c>
      <c r="M57" s="111">
        <f>IF(AND(OR(E57=2,E57=0),G57=1),D57,"")</f>
      </c>
      <c r="N57" s="111">
        <f>IF(AND(OR(E57=3,E57=0),G57=1),D57,"")</f>
      </c>
      <c r="O57" s="111">
        <f>IF(AND(OR(E57=1,E57=0),G57=2),D57,"")</f>
      </c>
      <c r="P57" s="111">
        <f>IF(AND(OR(E57=2,E57=0),G57=2),D57,"")</f>
      </c>
      <c r="Q57" s="111">
        <f>IF(AND(OR(E57=3,E57=0),G57=2),D57,"")</f>
      </c>
      <c r="R57" s="111">
        <f>IF(AND(OR(E57=1,E57=0),G57=3),D57,"")</f>
      </c>
      <c r="S57" s="111">
        <f>IF(AND(OR(E57=2,E57=0),G57=3),D57,"")</f>
      </c>
      <c r="T57" s="111">
        <f>IF(AND(OR(E57=3,E57=0),G57=3),D57,"")</f>
      </c>
      <c r="U57" s="111">
        <f>IF(AND(OR(E57=1,E57=0),G57=1,F57=1),D57,"")</f>
      </c>
      <c r="V57" s="111">
        <f>IF(AND(OR(E57=1,E57=0),G57=2,F57=1),D57,"")</f>
      </c>
      <c r="W57" s="111">
        <f>IF(AND(OR(E57=1,E57=0),G57=3,F57=1),D57,"")</f>
      </c>
      <c r="X57" s="111">
        <f>IF(AND(OR(E57=2,E57=0),G57=1,F57=1),D57,"")</f>
      </c>
      <c r="Y57" s="111">
        <f>IF(AND(OR(E57=2,E57=0),G57=2,F57=1),D57,"")</f>
      </c>
      <c r="Z57" s="111">
        <f>IF(AND(OR(E57=2,E57=0),G57=3,F57=1),D57,"")</f>
      </c>
      <c r="AA57" s="111">
        <f>IF(AND(OR(E57=3,E57=0),G57=1,F57=1),D57,"")</f>
      </c>
      <c r="AB57" s="111">
        <f>IF(AND(OR(E57=3,E57=0),G57=2,F57=1),D57,"")</f>
      </c>
      <c r="AC57" s="111">
        <f>IF(AND(OR(E57=3,E57=0),G57=3,F57=1),D57,"")</f>
      </c>
      <c r="AD57" s="111">
        <f>IF(AND(OR(E57=1,E57=0),G57=1,F57=0),J57,"")</f>
      </c>
      <c r="AE57" s="111">
        <f>IF(AND(OR(E57=1,E57=0),G57=2,F57=0),J57,"")</f>
      </c>
      <c r="AF57" s="111">
        <f>IF(AND(OR(E57=1,E57=0),G57=3,F57=0),J57,"")</f>
      </c>
      <c r="AG57" s="111">
        <f>IF(AND(OR(E57=1,E57=0),G57=1,F57=1),J57,"")</f>
      </c>
      <c r="AH57" s="111">
        <f>IF(AND(OR(E57=1,E57=0),G57=2,F57=1),J57,"")</f>
      </c>
      <c r="AI57" s="111">
        <f>IF(AND(OR(E57=1,E57=0),G57=3,F57=1),J57,"")</f>
      </c>
      <c r="AJ57" s="111">
        <f>IF(AND(OR(E57=2,E57=0),G57=1,F57=0),J57,"")</f>
      </c>
      <c r="AK57" s="111">
        <f>IF(AND(OR(E57=2,E57=0),G57=2,F57=0),J57,"")</f>
      </c>
      <c r="AL57" s="111">
        <f>IF(AND(OR(E57=2,E57=0),G57=3,F57=0),J57,"")</f>
      </c>
      <c r="AM57" s="111">
        <f>IF(AND(OR(E57=2,E57=0),G57=1,F57=1),J57,"")</f>
      </c>
      <c r="AN57" s="111">
        <f>IF(AND(OR(E57=2,E57=0),G57=2,F57=1),J57,"")</f>
      </c>
      <c r="AO57" s="111">
        <f>IF(AND(OR(E57=2,E57=0),G57=3,F57=1),J57,"")</f>
      </c>
      <c r="AP57" s="111">
        <f>IF(AND(OR(E57=3,E57=0),G57=1,F57=0),J57,"")</f>
      </c>
      <c r="AQ57" s="111">
        <f>IF(AND(OR(E57=3,E57=0),G57=2,F57=0),J57,"")</f>
      </c>
      <c r="AR57" s="111">
        <f>IF(AND(OR(E57=3,E57=0),G57=3,F57=0),J57,"")</f>
      </c>
      <c r="AS57" s="111">
        <f>IF(AND(OR(E57=3,E57=0),G57=1,F57=1),J57,"")</f>
      </c>
      <c r="AT57" s="111">
        <f>IF(AND(OR(E57=3,E57=0),G57=2,F57=1),J57,"")</f>
      </c>
      <c r="AU57" s="111">
        <f>IF(AND(OR(E57=3,E57=0),G57=3,F57=1),J57,"")</f>
      </c>
    </row>
    <row customHeight="true" ht="19" r="58">
      <c r="A58" s="99" t="str">
        <v>ピューとシューの二重奏（二重奏）</v>
      </c>
      <c r="B58" s="99" t="str"/>
      <c r="C58" s="99" t="str"/>
      <c r="D58" s="116">
        <f>持有情况!AU94-ROW()*1e-05</f>
      </c>
      <c r="E58" s="116">
        <v>2</v>
      </c>
      <c r="F58" s="117">
        <v>0</v>
      </c>
      <c r="G58" s="116">
        <v>2</v>
      </c>
      <c r="H58" s="116">
        <v>1</v>
      </c>
      <c r="I58" s="111" t="str">
        <v>二重奏</v>
      </c>
      <c r="J58" s="116">
        <f>IF(路线!C6="计算",INT(45+6*路线!B29+3*路线!B27+5*路线!B30+30+20)-ROW()*1e-05,INT(45+6*路线!B29+3*路线!B27+5*路线!B30+30)-ROW()*1e-05)</f>
      </c>
      <c r="K58" s="1" t="str"/>
      <c r="L58" s="111">
        <f>IF(AND(OR(E58=1,E58=0),G58=1),D58,"")</f>
      </c>
      <c r="M58" s="111">
        <f>IF(AND(OR(E58=2,E58=0),G58=1),D58,"")</f>
      </c>
      <c r="N58" s="111">
        <f>IF(AND(OR(E58=3,E58=0),G58=1),D58,"")</f>
      </c>
      <c r="O58" s="111">
        <f>IF(AND(OR(E58=1,E58=0),G58=2),D58,"")</f>
      </c>
      <c r="P58" s="111">
        <f>IF(AND(OR(E58=2,E58=0),G58=2),D58,"")</f>
      </c>
      <c r="Q58" s="111">
        <f>IF(AND(OR(E58=3,E58=0),G58=2),D58,"")</f>
      </c>
      <c r="R58" s="111">
        <f>IF(AND(OR(E58=1,E58=0),G58=3),D58,"")</f>
      </c>
      <c r="S58" s="111">
        <f>IF(AND(OR(E58=2,E58=0),G58=3),D58,"")</f>
      </c>
      <c r="T58" s="111">
        <f>IF(AND(OR(E58=3,E58=0),G58=3),D58,"")</f>
      </c>
      <c r="U58" s="111">
        <f>IF(AND(OR(E58=1,E58=0),G58=1,F58=1),D58,"")</f>
      </c>
      <c r="V58" s="111">
        <f>IF(AND(OR(E58=1,E58=0),G58=2,F58=1),D58,"")</f>
      </c>
      <c r="W58" s="111">
        <f>IF(AND(OR(E58=1,E58=0),G58=3,F58=1),D58,"")</f>
      </c>
      <c r="X58" s="111">
        <f>IF(AND(OR(E58=2,E58=0),G58=1,F58=1),D58,"")</f>
      </c>
      <c r="Y58" s="111">
        <f>IF(AND(OR(E58=2,E58=0),G58=2,F58=1),D58,"")</f>
      </c>
      <c r="Z58" s="111">
        <f>IF(AND(OR(E58=2,E58=0),G58=3,F58=1),D58,"")</f>
      </c>
      <c r="AA58" s="111">
        <f>IF(AND(OR(E58=3,E58=0),G58=1,F58=1),D58,"")</f>
      </c>
      <c r="AB58" s="111">
        <f>IF(AND(OR(E58=3,E58=0),G58=2,F58=1),D58,"")</f>
      </c>
      <c r="AC58" s="111">
        <f>IF(AND(OR(E58=3,E58=0),G58=3,F58=1),D58,"")</f>
      </c>
      <c r="AD58" s="111">
        <f>IF(AND(OR(E58=1,E58=0),G58=1,F58=0),J58,"")</f>
      </c>
      <c r="AE58" s="111">
        <f>IF(AND(OR(E58=1,E58=0),G58=2,F58=0),J58,"")</f>
      </c>
      <c r="AF58" s="111">
        <f>IF(AND(OR(E58=1,E58=0),G58=3,F58=0),J58,"")</f>
      </c>
      <c r="AG58" s="111">
        <f>IF(AND(OR(E58=1,E58=0),G58=1,F58=1),J58,"")</f>
      </c>
      <c r="AH58" s="111">
        <f>IF(AND(OR(E58=1,E58=0),G58=2,F58=1),J58,"")</f>
      </c>
      <c r="AI58" s="111">
        <f>IF(AND(OR(E58=1,E58=0),G58=3,F58=1),J58,"")</f>
      </c>
      <c r="AJ58" s="111">
        <f>IF(AND(OR(E58=2,E58=0),G58=1,F58=0),J58,"")</f>
      </c>
      <c r="AK58" s="111">
        <f>IF(AND(OR(E58=2,E58=0),G58=2,F58=0),J58,"")</f>
      </c>
      <c r="AL58" s="111">
        <f>IF(AND(OR(E58=2,E58=0),G58=3,F58=0),J58,"")</f>
      </c>
      <c r="AM58" s="111">
        <f>IF(AND(OR(E58=2,E58=0),G58=1,F58=1),J58,"")</f>
      </c>
      <c r="AN58" s="111">
        <f>IF(AND(OR(E58=2,E58=0),G58=2,F58=1),J58,"")</f>
      </c>
      <c r="AO58" s="111">
        <f>IF(AND(OR(E58=2,E58=0),G58=3,F58=1),J58,"")</f>
      </c>
      <c r="AP58" s="111">
        <f>IF(AND(OR(E58=3,E58=0),G58=1,F58=0),J58,"")</f>
      </c>
      <c r="AQ58" s="111">
        <f>IF(AND(OR(E58=3,E58=0),G58=2,F58=0),J58,"")</f>
      </c>
      <c r="AR58" s="111">
        <f>IF(AND(OR(E58=3,E58=0),G58=3,F58=0),J58,"")</f>
      </c>
      <c r="AS58" s="111">
        <f>IF(AND(OR(E58=3,E58=0),G58=1,F58=1),J58,"")</f>
      </c>
      <c r="AT58" s="111">
        <f>IF(AND(OR(E58=3,E58=0),G58=2,F58=1),J58,"")</f>
      </c>
      <c r="AU58" s="111">
        <f>IF(AND(OR(E58=3,E58=0),G58=3,F58=1),J58,"")</f>
      </c>
    </row>
    <row customHeight="true" ht="19" r="59">
      <c r="A59" s="99" t="str">
        <v>千奈の恩返し（恩返）</v>
      </c>
      <c r="B59" s="99" t="str"/>
      <c r="C59" s="99" t="str"/>
      <c r="D59" s="116">
        <f>持有情况!AU52-ROW()*1e-05</f>
      </c>
      <c r="E59" s="116">
        <v>2</v>
      </c>
      <c r="F59" s="117">
        <v>0</v>
      </c>
      <c r="G59" s="116">
        <v>2</v>
      </c>
      <c r="H59" s="116">
        <v>1</v>
      </c>
      <c r="I59" s="111" t="str">
        <v>恩返</v>
      </c>
      <c r="J59" s="116">
        <f>INT((6.4/100)*路线!B12+8*路线!B35+11*路线!B34+13*路线!B18+30)-ROW()*1e-05</f>
      </c>
      <c r="K59" s="1" t="str"/>
      <c r="L59" s="111">
        <f>IF(AND(OR(E59=1,E59=0),G59=1),D59,"")</f>
      </c>
      <c r="M59" s="111">
        <f>IF(AND(OR(E59=2,E59=0),G59=1),D59,"")</f>
      </c>
      <c r="N59" s="111">
        <f>IF(AND(OR(E59=3,E59=0),G59=1),D59,"")</f>
      </c>
      <c r="O59" s="111">
        <f>IF(AND(OR(E59=1,E59=0),G59=2),D59,"")</f>
      </c>
      <c r="P59" s="111">
        <f>IF(AND(OR(E59=2,E59=0),G59=2),D59,"")</f>
      </c>
      <c r="Q59" s="111">
        <f>IF(AND(OR(E59=3,E59=0),G59=2),D59,"")</f>
      </c>
      <c r="R59" s="111">
        <f>IF(AND(OR(E59=1,E59=0),G59=3),D59,"")</f>
      </c>
      <c r="S59" s="111">
        <f>IF(AND(OR(E59=2,E59=0),G59=3),D59,"")</f>
      </c>
      <c r="T59" s="111">
        <f>IF(AND(OR(E59=3,E59=0),G59=3),D59,"")</f>
      </c>
      <c r="U59" s="111">
        <f>IF(AND(OR(E59=1,E59=0),G59=1,F59=1),D59,"")</f>
      </c>
      <c r="V59" s="111">
        <f>IF(AND(OR(E59=1,E59=0),G59=2,F59=1),D59,"")</f>
      </c>
      <c r="W59" s="111">
        <f>IF(AND(OR(E59=1,E59=0),G59=3,F59=1),D59,"")</f>
      </c>
      <c r="X59" s="111">
        <f>IF(AND(OR(E59=2,E59=0),G59=1,F59=1),D59,"")</f>
      </c>
      <c r="Y59" s="111">
        <f>IF(AND(OR(E59=2,E59=0),G59=2,F59=1),D59,"")</f>
      </c>
      <c r="Z59" s="111">
        <f>IF(AND(OR(E59=2,E59=0),G59=3,F59=1),D59,"")</f>
      </c>
      <c r="AA59" s="111">
        <f>IF(AND(OR(E59=3,E59=0),G59=1,F59=1),D59,"")</f>
      </c>
      <c r="AB59" s="111">
        <f>IF(AND(OR(E59=3,E59=0),G59=2,F59=1),D59,"")</f>
      </c>
      <c r="AC59" s="111">
        <f>IF(AND(OR(E59=3,E59=0),G59=3,F59=1),D59,"")</f>
      </c>
      <c r="AD59" s="111">
        <f>IF(AND(OR(E59=1,E59=0),G59=1,F59=0),J59,"")</f>
      </c>
      <c r="AE59" s="111">
        <f>IF(AND(OR(E59=1,E59=0),G59=2,F59=0),J59,"")</f>
      </c>
      <c r="AF59" s="111">
        <f>IF(AND(OR(E59=1,E59=0),G59=3,F59=0),J59,"")</f>
      </c>
      <c r="AG59" s="111">
        <f>IF(AND(OR(E59=1,E59=0),G59=1,F59=1),J59,"")</f>
      </c>
      <c r="AH59" s="111">
        <f>IF(AND(OR(E59=1,E59=0),G59=2,F59=1),J59,"")</f>
      </c>
      <c r="AI59" s="111">
        <f>IF(AND(OR(E59=1,E59=0),G59=3,F59=1),J59,"")</f>
      </c>
      <c r="AJ59" s="111">
        <f>IF(AND(OR(E59=2,E59=0),G59=1,F59=0),J59,"")</f>
      </c>
      <c r="AK59" s="111">
        <f>IF(AND(OR(E59=2,E59=0),G59=2,F59=0),J59,"")</f>
      </c>
      <c r="AL59" s="111">
        <f>IF(AND(OR(E59=2,E59=0),G59=3,F59=0),J59,"")</f>
      </c>
      <c r="AM59" s="111">
        <f>IF(AND(OR(E59=2,E59=0),G59=1,F59=1),J59,"")</f>
      </c>
      <c r="AN59" s="111">
        <f>IF(AND(OR(E59=2,E59=0),G59=2,F59=1),J59,"")</f>
      </c>
      <c r="AO59" s="111">
        <f>IF(AND(OR(E59=2,E59=0),G59=3,F59=1),J59,"")</f>
      </c>
      <c r="AP59" s="111">
        <f>IF(AND(OR(E59=3,E59=0),G59=1,F59=0),J59,"")</f>
      </c>
      <c r="AQ59" s="111">
        <f>IF(AND(OR(E59=3,E59=0),G59=2,F59=0),J59,"")</f>
      </c>
      <c r="AR59" s="111">
        <f>IF(AND(OR(E59=3,E59=0),G59=3,F59=0),J59,"")</f>
      </c>
      <c r="AS59" s="111">
        <f>IF(AND(OR(E59=3,E59=0),G59=1,F59=1),J59,"")</f>
      </c>
      <c r="AT59" s="111">
        <f>IF(AND(OR(E59=3,E59=0),G59=2,F59=1),J59,"")</f>
      </c>
      <c r="AU59" s="111">
        <f>IF(AND(OR(E59=3,E59=0),G59=3,F59=1),J59,"")</f>
      </c>
    </row>
    <row customHeight="true" ht="19" r="60">
      <c r="A60" s="75" t="str">
        <v>次の桜の季節には。（花荫）</v>
      </c>
      <c r="B60" s="75" t="str"/>
      <c r="C60" s="75" t="str"/>
      <c r="D60" s="116">
        <f>持有情况!G22-ROW()*1e-05</f>
      </c>
      <c r="E60" s="117">
        <v>0</v>
      </c>
      <c r="F60" s="117">
        <v>0</v>
      </c>
      <c r="G60" s="116">
        <v>1</v>
      </c>
      <c r="H60" s="116">
        <v>1</v>
      </c>
      <c r="I60" s="111" t="str">
        <v>花荫</v>
      </c>
      <c r="J60" s="116">
        <f>IF(路线!C6="计算",INT((8.5/100)*路线!B12+6*路线!B17+4*(路线!B28+路线!B29)+40+20)-ROW()*1e-05,INT((8.5/100)*路线!B12+6*路线!B17+4*(路线!B28+路线!B29)+40)-ROW()*1e-05)</f>
      </c>
      <c r="K60" s="1" t="str"/>
      <c r="L60" s="111">
        <f>IF(AND(OR(E60=1,E60=0),G60=1),D60,"")</f>
      </c>
      <c r="M60" s="111">
        <f>IF(AND(OR(E60=2,E60=0),G60=1),D60,"")</f>
      </c>
      <c r="N60" s="111">
        <f>IF(AND(OR(E60=3,E60=0),G60=1),D60,"")</f>
      </c>
      <c r="O60" s="111">
        <f>IF(AND(OR(E60=1,E60=0),G60=2),D60,"")</f>
      </c>
      <c r="P60" s="111">
        <f>IF(AND(OR(E60=2,E60=0),G60=2),D60,"")</f>
      </c>
      <c r="Q60" s="111">
        <f>IF(AND(OR(E60=3,E60=0),G60=2),D60,"")</f>
      </c>
      <c r="R60" s="111">
        <f>IF(AND(OR(E60=1,E60=0),G60=3),D60,"")</f>
      </c>
      <c r="S60" s="111">
        <f>IF(AND(OR(E60=2,E60=0),G60=3),D60,"")</f>
      </c>
      <c r="T60" s="111">
        <f>IF(AND(OR(E60=3,E60=0),G60=3),D60,"")</f>
      </c>
      <c r="U60" s="111">
        <f>IF(AND(OR(E60=1,E60=0),G60=1,F60=1),D60,"")</f>
      </c>
      <c r="V60" s="111">
        <f>IF(AND(OR(E60=1,E60=0),G60=2,F60=1),D60,"")</f>
      </c>
      <c r="W60" s="111">
        <f>IF(AND(OR(E60=1,E60=0),G60=3,F60=1),D60,"")</f>
      </c>
      <c r="X60" s="111">
        <f>IF(AND(OR(E60=2,E60=0),G60=1,F60=1),D60,"")</f>
      </c>
      <c r="Y60" s="111">
        <f>IF(AND(OR(E60=2,E60=0),G60=2,F60=1),D60,"")</f>
      </c>
      <c r="Z60" s="111">
        <f>IF(AND(OR(E60=2,E60=0),G60=3,F60=1),D60,"")</f>
      </c>
      <c r="AA60" s="111">
        <f>IF(AND(OR(E60=3,E60=0),G60=1,F60=1),D60,"")</f>
      </c>
      <c r="AB60" s="111">
        <f>IF(AND(OR(E60=3,E60=0),G60=2,F60=1),D60,"")</f>
      </c>
      <c r="AC60" s="111">
        <f>IF(AND(OR(E60=3,E60=0),G60=3,F60=1),D60,"")</f>
      </c>
      <c r="AD60" s="111">
        <f>IF(AND(OR(E60=1,E60=0),G60=1,F60=0),J60,"")</f>
      </c>
      <c r="AE60" s="111">
        <f>IF(AND(OR(E60=1,E60=0),G60=2,F60=0),J60,"")</f>
      </c>
      <c r="AF60" s="111">
        <f>IF(AND(OR(E60=1,E60=0),G60=3,F60=0),J60,"")</f>
      </c>
      <c r="AG60" s="111">
        <f>IF(AND(OR(E60=1,E60=0),G60=1,F60=1),J60,"")</f>
      </c>
      <c r="AH60" s="111">
        <f>IF(AND(OR(E60=1,E60=0),G60=2,F60=1),J60,"")</f>
      </c>
      <c r="AI60" s="111">
        <f>IF(AND(OR(E60=1,E60=0),G60=3,F60=1),J60,"")</f>
      </c>
      <c r="AJ60" s="111">
        <f>IF(AND(OR(E60=2,E60=0),G60=1,F60=0),J60,"")</f>
      </c>
      <c r="AK60" s="111">
        <f>IF(AND(OR(E60=2,E60=0),G60=2,F60=0),J60,"")</f>
      </c>
      <c r="AL60" s="111">
        <f>IF(AND(OR(E60=2,E60=0),G60=3,F60=0),J60,"")</f>
      </c>
      <c r="AM60" s="111">
        <f>IF(AND(OR(E60=2,E60=0),G60=1,F60=1),J60,"")</f>
      </c>
      <c r="AN60" s="111">
        <f>IF(AND(OR(E60=2,E60=0),G60=2,F60=1),J60,"")</f>
      </c>
      <c r="AO60" s="111">
        <f>IF(AND(OR(E60=2,E60=0),G60=3,F60=1),J60,"")</f>
      </c>
      <c r="AP60" s="111">
        <f>IF(AND(OR(E60=3,E60=0),G60=1,F60=0),J60,"")</f>
      </c>
      <c r="AQ60" s="111">
        <f>IF(AND(OR(E60=3,E60=0),G60=2,F60=0),J60,"")</f>
      </c>
      <c r="AR60" s="111">
        <f>IF(AND(OR(E60=3,E60=0),G60=3,F60=0),J60,"")</f>
      </c>
      <c r="AS60" s="111">
        <f>IF(AND(OR(E60=3,E60=0),G60=1,F60=1),J60,"")</f>
      </c>
      <c r="AT60" s="111">
        <f>IF(AND(OR(E60=3,E60=0),G60=2,F60=1),J60,"")</f>
      </c>
      <c r="AU60" s="111">
        <f>IF(AND(OR(E60=3,E60=0),G60=3,F60=1),J60,"")</f>
      </c>
    </row>
    <row customHeight="true" ht="19" r="61">
      <c r="A61" s="75" t="str">
        <v>今はあえて、背を向けて（刺猬）</v>
      </c>
      <c r="B61" s="75" t="str"/>
      <c r="C61" s="75" t="str"/>
      <c r="D61" s="116">
        <f>持有情况!AK28-ROW()*1e-05</f>
      </c>
      <c r="E61" s="117">
        <v>0</v>
      </c>
      <c r="F61" s="116">
        <v>1</v>
      </c>
      <c r="G61" s="116">
        <v>1</v>
      </c>
      <c r="H61" s="117">
        <v>0</v>
      </c>
      <c r="I61" s="1" t="str"/>
      <c r="J61" s="116">
        <f>INT((6.4/100)*路线!B12+17+13*路线!B18+30)-ROW()*1e-05</f>
      </c>
      <c r="K61" s="1" t="str"/>
      <c r="L61" s="111">
        <f>IF(AND(OR(E61=1,E61=0),G61=1),D61,"")</f>
      </c>
      <c r="M61" s="111">
        <f>IF(AND(OR(E61=2,E61=0),G61=1),D61,"")</f>
      </c>
      <c r="N61" s="111">
        <f>IF(AND(OR(E61=3,E61=0),G61=1),D61,"")</f>
      </c>
      <c r="O61" s="111">
        <f>IF(AND(OR(E61=1,E61=0),G61=2),D61,"")</f>
      </c>
      <c r="P61" s="111">
        <f>IF(AND(OR(E61=2,E61=0),G61=2),D61,"")</f>
      </c>
      <c r="Q61" s="111">
        <f>IF(AND(OR(E61=3,E61=0),G61=2),D61,"")</f>
      </c>
      <c r="R61" s="111">
        <f>IF(AND(OR(E61=1,E61=0),G61=3),D61,"")</f>
      </c>
      <c r="S61" s="111">
        <f>IF(AND(OR(E61=2,E61=0),G61=3),D61,"")</f>
      </c>
      <c r="T61" s="111">
        <f>IF(AND(OR(E61=3,E61=0),G61=3),D61,"")</f>
      </c>
      <c r="U61" s="111">
        <f>IF(AND(OR(E61=1,E61=0),G61=1,F61=1),D61,"")</f>
      </c>
      <c r="V61" s="111">
        <f>IF(AND(OR(E61=1,E61=0),G61=2,F61=1),D61,"")</f>
      </c>
      <c r="W61" s="111">
        <f>IF(AND(OR(E61=1,E61=0),G61=3,F61=1),D61,"")</f>
      </c>
      <c r="X61" s="111">
        <f>IF(AND(OR(E61=2,E61=0),G61=1,F61=1),D61,"")</f>
      </c>
      <c r="Y61" s="111">
        <f>IF(AND(OR(E61=2,E61=0),G61=2,F61=1),D61,"")</f>
      </c>
      <c r="Z61" s="111">
        <f>IF(AND(OR(E61=2,E61=0),G61=3,F61=1),D61,"")</f>
      </c>
      <c r="AA61" s="111">
        <f>IF(AND(OR(E61=3,E61=0),G61=1,F61=1),D61,"")</f>
      </c>
      <c r="AB61" s="111">
        <f>IF(AND(OR(E61=3,E61=0),G61=2,F61=1),D61,"")</f>
      </c>
      <c r="AC61" s="111">
        <f>IF(AND(OR(E61=3,E61=0),G61=3,F61=1),D61,"")</f>
      </c>
      <c r="AD61" s="111">
        <f>IF(AND(OR(E61=1,E61=0),G61=1,F61=0),J61,"")</f>
      </c>
      <c r="AE61" s="111">
        <f>IF(AND(OR(E61=1,E61=0),G61=2,F61=0),J61,"")</f>
      </c>
      <c r="AF61" s="111">
        <f>IF(AND(OR(E61=1,E61=0),G61=3,F61=0),J61,"")</f>
      </c>
      <c r="AG61" s="111">
        <f>IF(AND(OR(E61=1,E61=0),G61=1,F61=1),J61,"")</f>
      </c>
      <c r="AH61" s="111">
        <f>IF(AND(OR(E61=1,E61=0),G61=2,F61=1),J61,"")</f>
      </c>
      <c r="AI61" s="111">
        <f>IF(AND(OR(E61=1,E61=0),G61=3,F61=1),J61,"")</f>
      </c>
      <c r="AJ61" s="111">
        <f>IF(AND(OR(E61=2,E61=0),G61=1,F61=0),J61,"")</f>
      </c>
      <c r="AK61" s="111">
        <f>IF(AND(OR(E61=2,E61=0),G61=2,F61=0),J61,"")</f>
      </c>
      <c r="AL61" s="111">
        <f>IF(AND(OR(E61=2,E61=0),G61=3,F61=0),J61,"")</f>
      </c>
      <c r="AM61" s="111">
        <f>IF(AND(OR(E61=2,E61=0),G61=1,F61=1),J61,"")</f>
      </c>
      <c r="AN61" s="111">
        <f>IF(AND(OR(E61=2,E61=0),G61=2,F61=1),J61,"")</f>
      </c>
      <c r="AO61" s="111">
        <f>IF(AND(OR(E61=2,E61=0),G61=3,F61=1),J61,"")</f>
      </c>
      <c r="AP61" s="111">
        <f>IF(AND(OR(E61=3,E61=0),G61=1,F61=0),J61,"")</f>
      </c>
      <c r="AQ61" s="111">
        <f>IF(AND(OR(E61=3,E61=0),G61=2,F61=0),J61,"")</f>
      </c>
      <c r="AR61" s="111">
        <f>IF(AND(OR(E61=3,E61=0),G61=3,F61=0),J61,"")</f>
      </c>
      <c r="AS61" s="111">
        <f>IF(AND(OR(E61=3,E61=0),G61=1,F61=1),J61,"")</f>
      </c>
      <c r="AT61" s="111">
        <f>IF(AND(OR(E61=3,E61=0),G61=2,F61=1),J61,"")</f>
      </c>
      <c r="AU61" s="111">
        <f>IF(AND(OR(E61=3,E61=0),G61=3,F61=1),J61,"")</f>
      </c>
    </row>
    <row customHeight="true" ht="19" r="62">
      <c r="A62" s="99" t="str">
        <v>ふわふわでワクワク（蓝饮料）</v>
      </c>
      <c r="B62" s="99" t="str"/>
      <c r="C62" s="99" t="str"/>
      <c r="D62" s="116">
        <f>持有情况!AU16-ROW()*1e-05</f>
      </c>
      <c r="E62" s="117">
        <v>0</v>
      </c>
      <c r="F62" s="116">
        <v>1</v>
      </c>
      <c r="G62" s="116">
        <v>2</v>
      </c>
      <c r="H62" s="117">
        <v>0</v>
      </c>
      <c r="I62" s="1" t="str"/>
      <c r="J62" s="116">
        <f>INT((6.4/100)*路线!B12+17+13*路线!B18+30)-ROW()*1e-05</f>
      </c>
      <c r="K62" s="1" t="str"/>
      <c r="L62" s="111">
        <f>IF(AND(OR(E62=1,E62=0),G62=1),D62,"")</f>
      </c>
      <c r="M62" s="111">
        <f>IF(AND(OR(E62=2,E62=0),G62=1),D62,"")</f>
      </c>
      <c r="N62" s="111">
        <f>IF(AND(OR(E62=3,E62=0),G62=1),D62,"")</f>
      </c>
      <c r="O62" s="111">
        <f>IF(AND(OR(E62=1,E62=0),G62=2),D62,"")</f>
      </c>
      <c r="P62" s="111">
        <f>IF(AND(OR(E62=2,E62=0),G62=2),D62,"")</f>
      </c>
      <c r="Q62" s="111">
        <f>IF(AND(OR(E62=3,E62=0),G62=2),D62,"")</f>
      </c>
      <c r="R62" s="111">
        <f>IF(AND(OR(E62=1,E62=0),G62=3),D62,"")</f>
      </c>
      <c r="S62" s="111">
        <f>IF(AND(OR(E62=2,E62=0),G62=3),D62,"")</f>
      </c>
      <c r="T62" s="111">
        <f>IF(AND(OR(E62=3,E62=0),G62=3),D62,"")</f>
      </c>
      <c r="U62" s="111">
        <f>IF(AND(OR(E62=1,E62=0),G62=1,F62=1),D62,"")</f>
      </c>
      <c r="V62" s="111">
        <f>IF(AND(OR(E62=1,E62=0),G62=2,F62=1),D62,"")</f>
      </c>
      <c r="W62" s="111">
        <f>IF(AND(OR(E62=1,E62=0),G62=3,F62=1),D62,"")</f>
      </c>
      <c r="X62" s="111">
        <f>IF(AND(OR(E62=2,E62=0),G62=1,F62=1),D62,"")</f>
      </c>
      <c r="Y62" s="111">
        <f>IF(AND(OR(E62=2,E62=0),G62=2,F62=1),D62,"")</f>
      </c>
      <c r="Z62" s="111">
        <f>IF(AND(OR(E62=2,E62=0),G62=3,F62=1),D62,"")</f>
      </c>
      <c r="AA62" s="111">
        <f>IF(AND(OR(E62=3,E62=0),G62=1,F62=1),D62,"")</f>
      </c>
      <c r="AB62" s="111">
        <f>IF(AND(OR(E62=3,E62=0),G62=2,F62=1),D62,"")</f>
      </c>
      <c r="AC62" s="111">
        <f>IF(AND(OR(E62=3,E62=0),G62=3,F62=1),D62,"")</f>
      </c>
      <c r="AD62" s="111">
        <f>IF(AND(OR(E62=1,E62=0),G62=1,F62=0),J62,"")</f>
      </c>
      <c r="AE62" s="111">
        <f>IF(AND(OR(E62=1,E62=0),G62=2,F62=0),J62,"")</f>
      </c>
      <c r="AF62" s="111">
        <f>IF(AND(OR(E62=1,E62=0),G62=3,F62=0),J62,"")</f>
      </c>
      <c r="AG62" s="111">
        <f>IF(AND(OR(E62=1,E62=0),G62=1,F62=1),J62,"")</f>
      </c>
      <c r="AH62" s="111">
        <f>IF(AND(OR(E62=1,E62=0),G62=2,F62=1),J62,"")</f>
      </c>
      <c r="AI62" s="111">
        <f>IF(AND(OR(E62=1,E62=0),G62=3,F62=1),J62,"")</f>
      </c>
      <c r="AJ62" s="111">
        <f>IF(AND(OR(E62=2,E62=0),G62=1,F62=0),J62,"")</f>
      </c>
      <c r="AK62" s="111">
        <f>IF(AND(OR(E62=2,E62=0),G62=2,F62=0),J62,"")</f>
      </c>
      <c r="AL62" s="111">
        <f>IF(AND(OR(E62=2,E62=0),G62=3,F62=0),J62,"")</f>
      </c>
      <c r="AM62" s="111">
        <f>IF(AND(OR(E62=2,E62=0),G62=1,F62=1),J62,"")</f>
      </c>
      <c r="AN62" s="111">
        <f>IF(AND(OR(E62=2,E62=0),G62=2,F62=1),J62,"")</f>
      </c>
      <c r="AO62" s="111">
        <f>IF(AND(OR(E62=2,E62=0),G62=3,F62=1),J62,"")</f>
      </c>
      <c r="AP62" s="111">
        <f>IF(AND(OR(E62=3,E62=0),G62=1,F62=0),J62,"")</f>
      </c>
      <c r="AQ62" s="111">
        <f>IF(AND(OR(E62=3,E62=0),G62=2,F62=0),J62,"")</f>
      </c>
      <c r="AR62" s="111">
        <f>IF(AND(OR(E62=3,E62=0),G62=3,F62=0),J62,"")</f>
      </c>
      <c r="AS62" s="111">
        <f>IF(AND(OR(E62=3,E62=0),G62=1,F62=1),J62,"")</f>
      </c>
      <c r="AT62" s="111">
        <f>IF(AND(OR(E62=3,E62=0),G62=2,F62=1),J62,"")</f>
      </c>
      <c r="AU62" s="111">
        <f>IF(AND(OR(E62=3,E62=0),G62=3,F62=1),J62,"")</f>
      </c>
    </row>
    <row customHeight="true" ht="19" r="63">
      <c r="A63" s="86" t="str">
        <v>体当たりのラブコール（过肩摔）</v>
      </c>
      <c r="B63" s="86" t="str"/>
      <c r="C63" s="86" t="str"/>
      <c r="D63" s="116">
        <f>持有情况!BE28-ROW()*1e-05</f>
      </c>
      <c r="E63" s="117">
        <v>0</v>
      </c>
      <c r="F63" s="116">
        <v>1</v>
      </c>
      <c r="G63" s="116">
        <v>3</v>
      </c>
      <c r="H63" s="116">
        <v>1</v>
      </c>
      <c r="I63" s="111" t="str">
        <v>过肩摔</v>
      </c>
      <c r="J63" s="116">
        <f>IF(路线!C6="计算",INT((6.4/100)*路线!B12+17+13*路线!B18+30+20)-ROW()*1e-05,INT((6.4/100)*路线!B12+17+13*路线!B18+30)-ROW()*1e-05)</f>
      </c>
      <c r="K63" s="1" t="str"/>
      <c r="L63" s="111">
        <f>IF(AND(OR(E63=1,E63=0),G63=1),D63,"")</f>
      </c>
      <c r="M63" s="111">
        <f>IF(AND(OR(E63=2,E63=0),G63=1),D63,"")</f>
      </c>
      <c r="N63" s="111">
        <f>IF(AND(OR(E63=3,E63=0),G63=1),D63,"")</f>
      </c>
      <c r="O63" s="111">
        <f>IF(AND(OR(E63=1,E63=0),G63=2),D63,"")</f>
      </c>
      <c r="P63" s="111">
        <f>IF(AND(OR(E63=2,E63=0),G63=2),D63,"")</f>
      </c>
      <c r="Q63" s="111">
        <f>IF(AND(OR(E63=3,E63=0),G63=2),D63,"")</f>
      </c>
      <c r="R63" s="111">
        <f>IF(AND(OR(E63=1,E63=0),G63=3),D63,"")</f>
      </c>
      <c r="S63" s="111">
        <f>IF(AND(OR(E63=2,E63=0),G63=3),D63,"")</f>
      </c>
      <c r="T63" s="111">
        <f>IF(AND(OR(E63=3,E63=0),G63=3),D63,"")</f>
      </c>
      <c r="U63" s="111">
        <f>IF(AND(OR(E63=1,E63=0),G63=1,F63=1),D63,"")</f>
      </c>
      <c r="V63" s="111">
        <f>IF(AND(OR(E63=1,E63=0),G63=2,F63=1),D63,"")</f>
      </c>
      <c r="W63" s="111">
        <f>IF(AND(OR(E63=1,E63=0),G63=3,F63=1),D63,"")</f>
      </c>
      <c r="X63" s="111">
        <f>IF(AND(OR(E63=2,E63=0),G63=1,F63=1),D63,"")</f>
      </c>
      <c r="Y63" s="111">
        <f>IF(AND(OR(E63=2,E63=0),G63=2,F63=1),D63,"")</f>
      </c>
      <c r="Z63" s="111">
        <f>IF(AND(OR(E63=2,E63=0),G63=3,F63=1),D63,"")</f>
      </c>
      <c r="AA63" s="111">
        <f>IF(AND(OR(E63=3,E63=0),G63=1,F63=1),D63,"")</f>
      </c>
      <c r="AB63" s="111">
        <f>IF(AND(OR(E63=3,E63=0),G63=2,F63=1),D63,"")</f>
      </c>
      <c r="AC63" s="111">
        <f>IF(AND(OR(E63=3,E63=0),G63=3,F63=1),D63,"")</f>
      </c>
      <c r="AD63" s="111">
        <f>IF(AND(OR(E63=1,E63=0),G63=1,F63=0),J63,"")</f>
      </c>
      <c r="AE63" s="111">
        <f>IF(AND(OR(E63=1,E63=0),G63=2,F63=0),J63,"")</f>
      </c>
      <c r="AF63" s="111">
        <f>IF(AND(OR(E63=1,E63=0),G63=3,F63=0),J63,"")</f>
      </c>
      <c r="AG63" s="111">
        <f>IF(AND(OR(E63=1,E63=0),G63=1,F63=1),J63,"")</f>
      </c>
      <c r="AH63" s="111">
        <f>IF(AND(OR(E63=1,E63=0),G63=2,F63=1),J63,"")</f>
      </c>
      <c r="AI63" s="111">
        <f>IF(AND(OR(E63=1,E63=0),G63=3,F63=1),J63,"")</f>
      </c>
      <c r="AJ63" s="111">
        <f>IF(AND(OR(E63=2,E63=0),G63=1,F63=0),J63,"")</f>
      </c>
      <c r="AK63" s="111">
        <f>IF(AND(OR(E63=2,E63=0),G63=2,F63=0),J63,"")</f>
      </c>
      <c r="AL63" s="111">
        <f>IF(AND(OR(E63=2,E63=0),G63=3,F63=0),J63,"")</f>
      </c>
      <c r="AM63" s="111">
        <f>IF(AND(OR(E63=2,E63=0),G63=1,F63=1),J63,"")</f>
      </c>
      <c r="AN63" s="111">
        <f>IF(AND(OR(E63=2,E63=0),G63=2,F63=1),J63,"")</f>
      </c>
      <c r="AO63" s="111">
        <f>IF(AND(OR(E63=2,E63=0),G63=3,F63=1),J63,"")</f>
      </c>
      <c r="AP63" s="111">
        <f>IF(AND(OR(E63=3,E63=0),G63=1,F63=0),J63,"")</f>
      </c>
      <c r="AQ63" s="111">
        <f>IF(AND(OR(E63=3,E63=0),G63=2,F63=0),J63,"")</f>
      </c>
      <c r="AR63" s="111">
        <f>IF(AND(OR(E63=3,E63=0),G63=3,F63=0),J63,"")</f>
      </c>
      <c r="AS63" s="111">
        <f>IF(AND(OR(E63=3,E63=0),G63=1,F63=1),J63,"")</f>
      </c>
      <c r="AT63" s="111">
        <f>IF(AND(OR(E63=3,E63=0),G63=2,F63=1),J63,"")</f>
      </c>
      <c r="AU63" s="111">
        <f>IF(AND(OR(E63=3,E63=0),G63=3,F63=1),J63,"")</f>
      </c>
    </row>
    <row customHeight="true" ht="19" r="64">
      <c r="A64" s="75" t="str">
        <v>マイペース、マイライフ（红13）</v>
      </c>
      <c r="B64" s="75" t="str"/>
      <c r="C64" s="75" t="str"/>
      <c r="D64" s="116">
        <f>IF(路线!B4="计算",持有情况!AM11,持有情况!AK10)-ROW()*1e-05</f>
      </c>
      <c r="E64" s="117">
        <v>0</v>
      </c>
      <c r="F64" s="117">
        <v>0</v>
      </c>
      <c r="G64" s="116">
        <v>1</v>
      </c>
      <c r="H64" s="117">
        <v>0</v>
      </c>
      <c r="I64" s="1" t="str"/>
      <c r="J64" s="116">
        <f>IF(路线!B4="计算",INT(45+8*路线!B33+4*路线!B17+30+持有情况!AM9),INT(45+8*路线!B33+4*路线!B17+30))-ROW()*1e-05</f>
      </c>
      <c r="K64" s="1" t="str"/>
      <c r="L64" s="111">
        <f>IF(AND(OR(E64=1,E64=0),G64=1),D64,"")</f>
      </c>
      <c r="M64" s="111">
        <f>IF(AND(OR(E64=2,E64=0),G64=1),D64,"")</f>
      </c>
      <c r="N64" s="111">
        <f>IF(AND(OR(E64=3,E64=0),G64=1),D64,"")</f>
      </c>
      <c r="O64" s="111">
        <f>IF(AND(OR(E64=1,E64=0),G64=2),D64,"")</f>
      </c>
      <c r="P64" s="111">
        <f>IF(AND(OR(E64=2,E64=0),G64=2),D64,"")</f>
      </c>
      <c r="Q64" s="111">
        <f>IF(AND(OR(E64=3,E64=0),G64=2),D64,"")</f>
      </c>
      <c r="R64" s="111">
        <f>IF(AND(OR(E64=1,E64=0),G64=3),D64,"")</f>
      </c>
      <c r="S64" s="111">
        <f>IF(AND(OR(E64=2,E64=0),G64=3),D64,"")</f>
      </c>
      <c r="T64" s="111">
        <f>IF(AND(OR(E64=3,E64=0),G64=3),D64,"")</f>
      </c>
      <c r="U64" s="111">
        <f>IF(AND(OR(E64=1,E64=0),G64=1,F64=1),D64,"")</f>
      </c>
      <c r="V64" s="111">
        <f>IF(AND(OR(E64=1,E64=0),G64=2,F64=1),D64,"")</f>
      </c>
      <c r="W64" s="111">
        <f>IF(AND(OR(E64=1,E64=0),G64=3,F64=1),D64,"")</f>
      </c>
      <c r="X64" s="111">
        <f>IF(AND(OR(E64=2,E64=0),G64=1,F64=1),D64,"")</f>
      </c>
      <c r="Y64" s="111">
        <f>IF(AND(OR(E64=2,E64=0),G64=2,F64=1),D64,"")</f>
      </c>
      <c r="Z64" s="111">
        <f>IF(AND(OR(E64=2,E64=0),G64=3,F64=1),D64,"")</f>
      </c>
      <c r="AA64" s="111">
        <f>IF(AND(OR(E64=3,E64=0),G64=1,F64=1),D64,"")</f>
      </c>
      <c r="AB64" s="111">
        <f>IF(AND(OR(E64=3,E64=0),G64=2,F64=1),D64,"")</f>
      </c>
      <c r="AC64" s="111">
        <f>IF(AND(OR(E64=3,E64=0),G64=3,F64=1),D64,"")</f>
      </c>
      <c r="AD64" s="111">
        <f>IF(AND(OR(E64=1,E64=0),G64=1,F64=0),J64,"")</f>
      </c>
      <c r="AE64" s="111">
        <f>IF(AND(OR(E64=1,E64=0),G64=2,F64=0),J64,"")</f>
      </c>
      <c r="AF64" s="111">
        <f>IF(AND(OR(E64=1,E64=0),G64=3,F64=0),J64,"")</f>
      </c>
      <c r="AG64" s="111">
        <f>IF(AND(OR(E64=1,E64=0),G64=1,F64=1),J64,"")</f>
      </c>
      <c r="AH64" s="111">
        <f>IF(AND(OR(E64=1,E64=0),G64=2,F64=1),J64,"")</f>
      </c>
      <c r="AI64" s="111">
        <f>IF(AND(OR(E64=1,E64=0),G64=3,F64=1),J64,"")</f>
      </c>
      <c r="AJ64" s="111">
        <f>IF(AND(OR(E64=2,E64=0),G64=1,F64=0),J64,"")</f>
      </c>
      <c r="AK64" s="111">
        <f>IF(AND(OR(E64=2,E64=0),G64=2,F64=0),J64,"")</f>
      </c>
      <c r="AL64" s="111">
        <f>IF(AND(OR(E64=2,E64=0),G64=3,F64=0),J64,"")</f>
      </c>
      <c r="AM64" s="111">
        <f>IF(AND(OR(E64=2,E64=0),G64=1,F64=1),J64,"")</f>
      </c>
      <c r="AN64" s="111">
        <f>IF(AND(OR(E64=2,E64=0),G64=2,F64=1),J64,"")</f>
      </c>
      <c r="AO64" s="111">
        <f>IF(AND(OR(E64=2,E64=0),G64=3,F64=1),J64,"")</f>
      </c>
      <c r="AP64" s="111">
        <f>IF(AND(OR(E64=3,E64=0),G64=1,F64=0),J64,"")</f>
      </c>
      <c r="AQ64" s="111">
        <f>IF(AND(OR(E64=3,E64=0),G64=2,F64=0),J64,"")</f>
      </c>
      <c r="AR64" s="111">
        <f>IF(AND(OR(E64=3,E64=0),G64=3,F64=0),J64,"")</f>
      </c>
      <c r="AS64" s="111">
        <f>IF(AND(OR(E64=3,E64=0),G64=1,F64=1),J64,"")</f>
      </c>
      <c r="AT64" s="111">
        <f>IF(AND(OR(E64=3,E64=0),G64=2,F64=1),J64,"")</f>
      </c>
      <c r="AU64" s="111">
        <f>IF(AND(OR(E64=3,E64=0),G64=3,F64=1),J64,"")</f>
      </c>
    </row>
    <row customHeight="true" ht="19" r="65">
      <c r="A65" s="99" t="str">
        <v>実食！例のSSD（蓝13）</v>
      </c>
      <c r="B65" s="99" t="str"/>
      <c r="C65" s="99" t="str"/>
      <c r="D65" s="116">
        <f>IF(路线!B4="计算",持有情况!AW5,持有情况!AU4)-ROW()*1e-05</f>
      </c>
      <c r="E65" s="117">
        <v>0</v>
      </c>
      <c r="F65" s="117">
        <v>0</v>
      </c>
      <c r="G65" s="116">
        <v>2</v>
      </c>
      <c r="H65" s="117">
        <v>0</v>
      </c>
      <c r="I65" s="1" t="str"/>
      <c r="J65" s="116">
        <f>IF(路线!B4="计算",INT(45+8*路线!B33+4*路线!B17+30+持有情况!AW3),INT(45+8*路线!B33+4*路线!B17+30))-ROW()*1e-05</f>
      </c>
      <c r="K65" s="1" t="str"/>
      <c r="L65" s="111">
        <f>IF(AND(OR(E65=1,E65=0),G65=1),D65,"")</f>
      </c>
      <c r="M65" s="111">
        <f>IF(AND(OR(E65=2,E65=0),G65=1),D65,"")</f>
      </c>
      <c r="N65" s="111">
        <f>IF(AND(OR(E65=3,E65=0),G65=1),D65,"")</f>
      </c>
      <c r="O65" s="111">
        <f>IF(AND(OR(E65=1,E65=0),G65=2),D65,"")</f>
      </c>
      <c r="P65" s="111">
        <f>IF(AND(OR(E65=2,E65=0),G65=2),D65,"")</f>
      </c>
      <c r="Q65" s="111">
        <f>IF(AND(OR(E65=3,E65=0),G65=2),D65,"")</f>
      </c>
      <c r="R65" s="111">
        <f>IF(AND(OR(E65=1,E65=0),G65=3),D65,"")</f>
      </c>
      <c r="S65" s="111">
        <f>IF(AND(OR(E65=2,E65=0),G65=3),D65,"")</f>
      </c>
      <c r="T65" s="111">
        <f>IF(AND(OR(E65=3,E65=0),G65=3),D65,"")</f>
      </c>
      <c r="U65" s="111">
        <f>IF(AND(OR(E65=1,E65=0),G65=1,F65=1),D65,"")</f>
      </c>
      <c r="V65" s="111">
        <f>IF(AND(OR(E65=1,E65=0),G65=2,F65=1),D65,"")</f>
      </c>
      <c r="W65" s="111">
        <f>IF(AND(OR(E65=1,E65=0),G65=3,F65=1),D65,"")</f>
      </c>
      <c r="X65" s="111">
        <f>IF(AND(OR(E65=2,E65=0),G65=1,F65=1),D65,"")</f>
      </c>
      <c r="Y65" s="111">
        <f>IF(AND(OR(E65=2,E65=0),G65=2,F65=1),D65,"")</f>
      </c>
      <c r="Z65" s="111">
        <f>IF(AND(OR(E65=2,E65=0),G65=3,F65=1),D65,"")</f>
      </c>
      <c r="AA65" s="111">
        <f>IF(AND(OR(E65=3,E65=0),G65=1,F65=1),D65,"")</f>
      </c>
      <c r="AB65" s="111">
        <f>IF(AND(OR(E65=3,E65=0),G65=2,F65=1),D65,"")</f>
      </c>
      <c r="AC65" s="111">
        <f>IF(AND(OR(E65=3,E65=0),G65=3,F65=1),D65,"")</f>
      </c>
      <c r="AD65" s="111">
        <f>IF(AND(OR(E65=1,E65=0),G65=1,F65=0),J65,"")</f>
      </c>
      <c r="AE65" s="111">
        <f>IF(AND(OR(E65=1,E65=0),G65=2,F65=0),J65,"")</f>
      </c>
      <c r="AF65" s="111">
        <f>IF(AND(OR(E65=1,E65=0),G65=3,F65=0),J65,"")</f>
      </c>
      <c r="AG65" s="111">
        <f>IF(AND(OR(E65=1,E65=0),G65=1,F65=1),J65,"")</f>
      </c>
      <c r="AH65" s="111">
        <f>IF(AND(OR(E65=1,E65=0),G65=2,F65=1),J65,"")</f>
      </c>
      <c r="AI65" s="111">
        <f>IF(AND(OR(E65=1,E65=0),G65=3,F65=1),J65,"")</f>
      </c>
      <c r="AJ65" s="111">
        <f>IF(AND(OR(E65=2,E65=0),G65=1,F65=0),J65,"")</f>
      </c>
      <c r="AK65" s="111">
        <f>IF(AND(OR(E65=2,E65=0),G65=2,F65=0),J65,"")</f>
      </c>
      <c r="AL65" s="111">
        <f>IF(AND(OR(E65=2,E65=0),G65=3,F65=0),J65,"")</f>
      </c>
      <c r="AM65" s="111">
        <f>IF(AND(OR(E65=2,E65=0),G65=1,F65=1),J65,"")</f>
      </c>
      <c r="AN65" s="111">
        <f>IF(AND(OR(E65=2,E65=0),G65=2,F65=1),J65,"")</f>
      </c>
      <c r="AO65" s="111">
        <f>IF(AND(OR(E65=2,E65=0),G65=3,F65=1),J65,"")</f>
      </c>
      <c r="AP65" s="111">
        <f>IF(AND(OR(E65=3,E65=0),G65=1,F65=0),J65,"")</f>
      </c>
      <c r="AQ65" s="111">
        <f>IF(AND(OR(E65=3,E65=0),G65=2,F65=0),J65,"")</f>
      </c>
      <c r="AR65" s="111">
        <f>IF(AND(OR(E65=3,E65=0),G65=3,F65=0),J65,"")</f>
      </c>
      <c r="AS65" s="111">
        <f>IF(AND(OR(E65=3,E65=0),G65=1,F65=1),J65,"")</f>
      </c>
      <c r="AT65" s="111">
        <f>IF(AND(OR(E65=3,E65=0),G65=2,F65=1),J65,"")</f>
      </c>
      <c r="AU65" s="111">
        <f>IF(AND(OR(E65=3,E65=0),G65=3,F65=1),J65,"")</f>
      </c>
    </row>
    <row customHeight="true" ht="19" r="66">
      <c r="A66" s="86" t="str">
        <v>思惑とガクガク（黄13）</v>
      </c>
      <c r="B66" s="86" t="str"/>
      <c r="C66" s="86" t="str"/>
      <c r="D66" s="116">
        <f>IF(路线!B4="计算",持有情况!BG11,持有情况!BE10)-ROW()*1e-05</f>
      </c>
      <c r="E66" s="117">
        <v>0</v>
      </c>
      <c r="F66" s="117">
        <v>0</v>
      </c>
      <c r="G66" s="116">
        <v>3</v>
      </c>
      <c r="H66" s="117">
        <v>0</v>
      </c>
      <c r="I66" s="1" t="str"/>
      <c r="J66" s="116">
        <f>IF(路线!B4="计算",INT(45+8*路线!B33+4*路线!B17+30+持有情况!BG9),INT(45+8*路线!B33+4*路线!B17+30))-ROW()*1e-05</f>
      </c>
      <c r="K66" s="1" t="str"/>
      <c r="L66" s="111">
        <f>IF(AND(OR(E66=1,E66=0),G66=1),D66,"")</f>
      </c>
      <c r="M66" s="111">
        <f>IF(AND(OR(E66=2,E66=0),G66=1),D66,"")</f>
      </c>
      <c r="N66" s="111">
        <f>IF(AND(OR(E66=3,E66=0),G66=1),D66,"")</f>
      </c>
      <c r="O66" s="111">
        <f>IF(AND(OR(E66=1,E66=0),G66=2),D66,"")</f>
      </c>
      <c r="P66" s="111">
        <f>IF(AND(OR(E66=2,E66=0),G66=2),D66,"")</f>
      </c>
      <c r="Q66" s="111">
        <f>IF(AND(OR(E66=3,E66=0),G66=2),D66,"")</f>
      </c>
      <c r="R66" s="111">
        <f>IF(AND(OR(E66=1,E66=0),G66=3),D66,"")</f>
      </c>
      <c r="S66" s="111">
        <f>IF(AND(OR(E66=2,E66=0),G66=3),D66,"")</f>
      </c>
      <c r="T66" s="111">
        <f>IF(AND(OR(E66=3,E66=0),G66=3),D66,"")</f>
      </c>
      <c r="U66" s="111">
        <f>IF(AND(OR(E66=1,E66=0),G66=1,F66=1),D66,"")</f>
      </c>
      <c r="V66" s="111">
        <f>IF(AND(OR(E66=1,E66=0),G66=2,F66=1),D66,"")</f>
      </c>
      <c r="W66" s="111">
        <f>IF(AND(OR(E66=1,E66=0),G66=3,F66=1),D66,"")</f>
      </c>
      <c r="X66" s="111">
        <f>IF(AND(OR(E66=2,E66=0),G66=1,F66=1),D66,"")</f>
      </c>
      <c r="Y66" s="111">
        <f>IF(AND(OR(E66=2,E66=0),G66=2,F66=1),D66,"")</f>
      </c>
      <c r="Z66" s="111">
        <f>IF(AND(OR(E66=2,E66=0),G66=3,F66=1),D66,"")</f>
      </c>
      <c r="AA66" s="111">
        <f>IF(AND(OR(E66=3,E66=0),G66=1,F66=1),D66,"")</f>
      </c>
      <c r="AB66" s="111">
        <f>IF(AND(OR(E66=3,E66=0),G66=2,F66=1),D66,"")</f>
      </c>
      <c r="AC66" s="111">
        <f>IF(AND(OR(E66=3,E66=0),G66=3,F66=1),D66,"")</f>
      </c>
      <c r="AD66" s="111">
        <f>IF(AND(OR(E66=1,E66=0),G66=1,F66=0),J66,"")</f>
      </c>
      <c r="AE66" s="111">
        <f>IF(AND(OR(E66=1,E66=0),G66=2,F66=0),J66,"")</f>
      </c>
      <c r="AF66" s="111">
        <f>IF(AND(OR(E66=1,E66=0),G66=3,F66=0),J66,"")</f>
      </c>
      <c r="AG66" s="111">
        <f>IF(AND(OR(E66=1,E66=0),G66=1,F66=1),J66,"")</f>
      </c>
      <c r="AH66" s="111">
        <f>IF(AND(OR(E66=1,E66=0),G66=2,F66=1),J66,"")</f>
      </c>
      <c r="AI66" s="111">
        <f>IF(AND(OR(E66=1,E66=0),G66=3,F66=1),J66,"")</f>
      </c>
      <c r="AJ66" s="111">
        <f>IF(AND(OR(E66=2,E66=0),G66=1,F66=0),J66,"")</f>
      </c>
      <c r="AK66" s="111">
        <f>IF(AND(OR(E66=2,E66=0),G66=2,F66=0),J66,"")</f>
      </c>
      <c r="AL66" s="111">
        <f>IF(AND(OR(E66=2,E66=0),G66=3,F66=0),J66,"")</f>
      </c>
      <c r="AM66" s="111">
        <f>IF(AND(OR(E66=2,E66=0),G66=1,F66=1),J66,"")</f>
      </c>
      <c r="AN66" s="111">
        <f>IF(AND(OR(E66=2,E66=0),G66=2,F66=1),J66,"")</f>
      </c>
      <c r="AO66" s="111">
        <f>IF(AND(OR(E66=2,E66=0),G66=3,F66=1),J66,"")</f>
      </c>
      <c r="AP66" s="111">
        <f>IF(AND(OR(E66=3,E66=0),G66=1,F66=0),J66,"")</f>
      </c>
      <c r="AQ66" s="111">
        <f>IF(AND(OR(E66=3,E66=0),G66=2,F66=0),J66,"")</f>
      </c>
      <c r="AR66" s="111">
        <f>IF(AND(OR(E66=3,E66=0),G66=3,F66=0),J66,"")</f>
      </c>
      <c r="AS66" s="111">
        <f>IF(AND(OR(E66=3,E66=0),G66=1,F66=1),J66,"")</f>
      </c>
      <c r="AT66" s="111">
        <f>IF(AND(OR(E66=3,E66=0),G66=2,F66=1),J66,"")</f>
      </c>
      <c r="AU66" s="111">
        <f>IF(AND(OR(E66=3,E66=0),G66=3,F66=1),J66,"")</f>
      </c>
    </row>
    <row customHeight="true" ht="19" r="67">
      <c r="A67" s="99" t="str">
        <v>ほら、一緒に持と♪（蓝再动）</v>
      </c>
      <c r="B67" s="99" t="str"/>
      <c r="C67" s="99" t="str"/>
      <c r="D67" s="116">
        <f>持有情况!Q4-ROW()*1e-05</f>
      </c>
      <c r="E67" s="117">
        <v>0</v>
      </c>
      <c r="F67" s="117">
        <v>0</v>
      </c>
      <c r="G67" s="116">
        <v>2</v>
      </c>
      <c r="H67" s="116">
        <v>1</v>
      </c>
      <c r="I67" s="111" t="str">
        <v>蓝再动</v>
      </c>
      <c r="J67" s="116">
        <f>INT((8.5/100)*路线!B12+6*路线!B17+3*路线!B23+40)-ROW()*1e-05</f>
      </c>
      <c r="K67" s="1" t="str"/>
      <c r="L67" s="111">
        <f>IF(AND(OR(E67=1,E67=0),G67=1),D67,"")</f>
      </c>
      <c r="M67" s="111">
        <f>IF(AND(OR(E67=2,E67=0),G67=1),D67,"")</f>
      </c>
      <c r="N67" s="111">
        <f>IF(AND(OR(E67=3,E67=0),G67=1),D67,"")</f>
      </c>
      <c r="O67" s="111">
        <f>IF(AND(OR(E67=1,E67=0),G67=2),D67,"")</f>
      </c>
      <c r="P67" s="111">
        <f>IF(AND(OR(E67=2,E67=0),G67=2),D67,"")</f>
      </c>
      <c r="Q67" s="111">
        <f>IF(AND(OR(E67=3,E67=0),G67=2),D67,"")</f>
      </c>
      <c r="R67" s="111">
        <f>IF(AND(OR(E67=1,E67=0),G67=3),D67,"")</f>
      </c>
      <c r="S67" s="111">
        <f>IF(AND(OR(E67=2,E67=0),G67=3),D67,"")</f>
      </c>
      <c r="T67" s="111">
        <f>IF(AND(OR(E67=3,E67=0),G67=3),D67,"")</f>
      </c>
      <c r="U67" s="111">
        <f>IF(AND(OR(E67=1,E67=0),G67=1,F67=1),D67,"")</f>
      </c>
      <c r="V67" s="111">
        <f>IF(AND(OR(E67=1,E67=0),G67=2,F67=1),D67,"")</f>
      </c>
      <c r="W67" s="111">
        <f>IF(AND(OR(E67=1,E67=0),G67=3,F67=1),D67,"")</f>
      </c>
      <c r="X67" s="111">
        <f>IF(AND(OR(E67=2,E67=0),G67=1,F67=1),D67,"")</f>
      </c>
      <c r="Y67" s="111">
        <f>IF(AND(OR(E67=2,E67=0),G67=2,F67=1),D67,"")</f>
      </c>
      <c r="Z67" s="111">
        <f>IF(AND(OR(E67=2,E67=0),G67=3,F67=1),D67,"")</f>
      </c>
      <c r="AA67" s="111">
        <f>IF(AND(OR(E67=3,E67=0),G67=1,F67=1),D67,"")</f>
      </c>
      <c r="AB67" s="111">
        <f>IF(AND(OR(E67=3,E67=0),G67=2,F67=1),D67,"")</f>
      </c>
      <c r="AC67" s="111">
        <f>IF(AND(OR(E67=3,E67=0),G67=3,F67=1),D67,"")</f>
      </c>
      <c r="AD67" s="111">
        <f>IF(AND(OR(E67=1,E67=0),G67=1,F67=0),J67,"")</f>
      </c>
      <c r="AE67" s="111">
        <f>IF(AND(OR(E67=1,E67=0),G67=2,F67=0),J67,"")</f>
      </c>
      <c r="AF67" s="111">
        <f>IF(AND(OR(E67=1,E67=0),G67=3,F67=0),J67,"")</f>
      </c>
      <c r="AG67" s="111">
        <f>IF(AND(OR(E67=1,E67=0),G67=1,F67=1),J67,"")</f>
      </c>
      <c r="AH67" s="111">
        <f>IF(AND(OR(E67=1,E67=0),G67=2,F67=1),J67,"")</f>
      </c>
      <c r="AI67" s="111">
        <f>IF(AND(OR(E67=1,E67=0),G67=3,F67=1),J67,"")</f>
      </c>
      <c r="AJ67" s="111">
        <f>IF(AND(OR(E67=2,E67=0),G67=1,F67=0),J67,"")</f>
      </c>
      <c r="AK67" s="111">
        <f>IF(AND(OR(E67=2,E67=0),G67=2,F67=0),J67,"")</f>
      </c>
      <c r="AL67" s="111">
        <f>IF(AND(OR(E67=2,E67=0),G67=3,F67=0),J67,"")</f>
      </c>
      <c r="AM67" s="111">
        <f>IF(AND(OR(E67=2,E67=0),G67=1,F67=1),J67,"")</f>
      </c>
      <c r="AN67" s="111">
        <f>IF(AND(OR(E67=2,E67=0),G67=2,F67=1),J67,"")</f>
      </c>
      <c r="AO67" s="111">
        <f>IF(AND(OR(E67=2,E67=0),G67=3,F67=1),J67,"")</f>
      </c>
      <c r="AP67" s="111">
        <f>IF(AND(OR(E67=3,E67=0),G67=1,F67=0),J67,"")</f>
      </c>
      <c r="AQ67" s="111">
        <f>IF(AND(OR(E67=3,E67=0),G67=2,F67=0),J67,"")</f>
      </c>
      <c r="AR67" s="111">
        <f>IF(AND(OR(E67=3,E67=0),G67=3,F67=0),J67,"")</f>
      </c>
      <c r="AS67" s="111">
        <f>IF(AND(OR(E67=3,E67=0),G67=1,F67=1),J67,"")</f>
      </c>
      <c r="AT67" s="111">
        <f>IF(AND(OR(E67=3,E67=0),G67=2,F67=1),J67,"")</f>
      </c>
      <c r="AU67" s="111">
        <f>IF(AND(OR(E67=3,E67=0),G67=3,F67=1),J67,"")</f>
      </c>
    </row>
    <row customHeight="true" ht="19" r="68">
      <c r="A68" s="86" t="str">
        <v>お疲れ様、千奈ちゃん。（辛苦了千奈）</v>
      </c>
      <c r="B68" s="86" t="str"/>
      <c r="C68" s="86" t="str"/>
      <c r="D68" s="116">
        <f>持有情况!AA22-ROW()*1e-05</f>
      </c>
      <c r="E68" s="117">
        <v>0</v>
      </c>
      <c r="F68" s="117">
        <v>0</v>
      </c>
      <c r="G68" s="116">
        <v>3</v>
      </c>
      <c r="H68" s="116">
        <v>1</v>
      </c>
      <c r="I68" s="111" t="str">
        <v>辛苦了千奈</v>
      </c>
      <c r="J68" s="116">
        <f>IF(路线!C6="计算",INT((8.5/100)*路线!B12+6*路线!B17+3*路线!B23+40+20)-ROW()*1e-05,INT((8.5/100)*路线!B12+6*路线!B17+3*路线!B23+40)-ROW()*1e-05)</f>
      </c>
      <c r="K68" s="1" t="str"/>
      <c r="L68" s="111">
        <f>IF(AND(OR(E68=1,E68=0),G68=1),D68,"")</f>
      </c>
      <c r="M68" s="111">
        <f>IF(AND(OR(E68=2,E68=0),G68=1),D68,"")</f>
      </c>
      <c r="N68" s="111">
        <f>IF(AND(OR(E68=3,E68=0),G68=1),D68,"")</f>
      </c>
      <c r="O68" s="111">
        <f>IF(AND(OR(E68=1,E68=0),G68=2),D68,"")</f>
      </c>
      <c r="P68" s="111">
        <f>IF(AND(OR(E68=2,E68=0),G68=2),D68,"")</f>
      </c>
      <c r="Q68" s="111">
        <f>IF(AND(OR(E68=3,E68=0),G68=2),D68,"")</f>
      </c>
      <c r="R68" s="111">
        <f>IF(AND(OR(E68=1,E68=0),G68=3),D68,"")</f>
      </c>
      <c r="S68" s="111">
        <f>IF(AND(OR(E68=2,E68=0),G68=3),D68,"")</f>
      </c>
      <c r="T68" s="111">
        <f>IF(AND(OR(E68=3,E68=0),G68=3),D68,"")</f>
      </c>
      <c r="U68" s="111">
        <f>IF(AND(OR(E68=1,E68=0),G68=1,F68=1),D68,"")</f>
      </c>
      <c r="V68" s="111">
        <f>IF(AND(OR(E68=1,E68=0),G68=2,F68=1),D68,"")</f>
      </c>
      <c r="W68" s="111">
        <f>IF(AND(OR(E68=1,E68=0),G68=3,F68=1),D68,"")</f>
      </c>
      <c r="X68" s="111">
        <f>IF(AND(OR(E68=2,E68=0),G68=1,F68=1),D68,"")</f>
      </c>
      <c r="Y68" s="111">
        <f>IF(AND(OR(E68=2,E68=0),G68=2,F68=1),D68,"")</f>
      </c>
      <c r="Z68" s="111">
        <f>IF(AND(OR(E68=2,E68=0),G68=3,F68=1),D68,"")</f>
      </c>
      <c r="AA68" s="111">
        <f>IF(AND(OR(E68=3,E68=0),G68=1,F68=1),D68,"")</f>
      </c>
      <c r="AB68" s="111">
        <f>IF(AND(OR(E68=3,E68=0),G68=2,F68=1),D68,"")</f>
      </c>
      <c r="AC68" s="111">
        <f>IF(AND(OR(E68=3,E68=0),G68=3,F68=1),D68,"")</f>
      </c>
      <c r="AD68" s="111">
        <f>IF(AND(OR(E68=1,E68=0),G68=1,F68=0),J68,"")</f>
      </c>
      <c r="AE68" s="111">
        <f>IF(AND(OR(E68=1,E68=0),G68=2,F68=0),J68,"")</f>
      </c>
      <c r="AF68" s="111">
        <f>IF(AND(OR(E68=1,E68=0),G68=3,F68=0),J68,"")</f>
      </c>
      <c r="AG68" s="111">
        <f>IF(AND(OR(E68=1,E68=0),G68=1,F68=1),J68,"")</f>
      </c>
      <c r="AH68" s="111">
        <f>IF(AND(OR(E68=1,E68=0),G68=2,F68=1),J68,"")</f>
      </c>
      <c r="AI68" s="111">
        <f>IF(AND(OR(E68=1,E68=0),G68=3,F68=1),J68,"")</f>
      </c>
      <c r="AJ68" s="111">
        <f>IF(AND(OR(E68=2,E68=0),G68=1,F68=0),J68,"")</f>
      </c>
      <c r="AK68" s="111">
        <f>IF(AND(OR(E68=2,E68=0),G68=2,F68=0),J68,"")</f>
      </c>
      <c r="AL68" s="111">
        <f>IF(AND(OR(E68=2,E68=0),G68=3,F68=0),J68,"")</f>
      </c>
      <c r="AM68" s="111">
        <f>IF(AND(OR(E68=2,E68=0),G68=1,F68=1),J68,"")</f>
      </c>
      <c r="AN68" s="111">
        <f>IF(AND(OR(E68=2,E68=0),G68=2,F68=1),J68,"")</f>
      </c>
      <c r="AO68" s="111">
        <f>IF(AND(OR(E68=2,E68=0),G68=3,F68=1),J68,"")</f>
      </c>
      <c r="AP68" s="111">
        <f>IF(AND(OR(E68=3,E68=0),G68=1,F68=0),J68,"")</f>
      </c>
      <c r="AQ68" s="111">
        <f>IF(AND(OR(E68=3,E68=0),G68=2,F68=0),J68,"")</f>
      </c>
      <c r="AR68" s="111">
        <f>IF(AND(OR(E68=3,E68=0),G68=3,F68=0),J68,"")</f>
      </c>
      <c r="AS68" s="111">
        <f>IF(AND(OR(E68=3,E68=0),G68=1,F68=1),J68,"")</f>
      </c>
      <c r="AT68" s="111">
        <f>IF(AND(OR(E68=3,E68=0),G68=2,F68=1),J68,"")</f>
      </c>
      <c r="AU68" s="111">
        <f>IF(AND(OR(E68=3,E68=0),G68=3,F68=1),J68,"")</f>
      </c>
    </row>
    <row customHeight="true" ht="19" r="69">
      <c r="A69" s="86" t="str">
        <v>「ア」じゃなくて「エ」！（黄补课）</v>
      </c>
      <c r="B69" s="86" t="str"/>
      <c r="C69" s="86" t="str"/>
      <c r="D69" s="116">
        <f>持有情况!AA46-ROW()*1e-05</f>
      </c>
      <c r="E69" s="116">
        <v>2</v>
      </c>
      <c r="F69" s="116">
        <v>1</v>
      </c>
      <c r="G69" s="116">
        <v>3</v>
      </c>
      <c r="H69" s="116">
        <v>1</v>
      </c>
      <c r="I69" s="111" t="str">
        <v>黄补课</v>
      </c>
      <c r="J69" s="116">
        <f>IF(路线!C6="计算",INT(60+6*路线!B17+3*路线!B24+40+20)-ROW()*1e-05,INT(60+6*路线!B17+3*路线!B24+40)-ROW()*1e-05)</f>
      </c>
      <c r="K69" s="1" t="str"/>
      <c r="L69" s="111">
        <f>IF(AND(OR(E69=1,E69=0),G69=1),D69,"")</f>
      </c>
      <c r="M69" s="111">
        <f>IF(AND(OR(E69=2,E69=0),G69=1),D69,"")</f>
      </c>
      <c r="N69" s="111">
        <f>IF(AND(OR(E69=3,E69=0),G69=1),D69,"")</f>
      </c>
      <c r="O69" s="111">
        <f>IF(AND(OR(E69=1,E69=0),G69=2),D69,"")</f>
      </c>
      <c r="P69" s="111">
        <f>IF(AND(OR(E69=2,E69=0),G69=2),D69,"")</f>
      </c>
      <c r="Q69" s="111">
        <f>IF(AND(OR(E69=3,E69=0),G69=2),D69,"")</f>
      </c>
      <c r="R69" s="111">
        <f>IF(AND(OR(E69=1,E69=0),G69=3),D69,"")</f>
      </c>
      <c r="S69" s="111">
        <f>IF(AND(OR(E69=2,E69=0),G69=3),D69,"")</f>
      </c>
      <c r="T69" s="111">
        <f>IF(AND(OR(E69=3,E69=0),G69=3),D69,"")</f>
      </c>
      <c r="U69" s="111">
        <f>IF(AND(OR(E69=1,E69=0),G69=1,F69=1),D69,"")</f>
      </c>
      <c r="V69" s="111">
        <f>IF(AND(OR(E69=1,E69=0),G69=2,F69=1),D69,"")</f>
      </c>
      <c r="W69" s="111">
        <f>IF(AND(OR(E69=1,E69=0),G69=3,F69=1),D69,"")</f>
      </c>
      <c r="X69" s="111">
        <f>IF(AND(OR(E69=2,E69=0),G69=1,F69=1),D69,"")</f>
      </c>
      <c r="Y69" s="111">
        <f>IF(AND(OR(E69=2,E69=0),G69=2,F69=1),D69,"")</f>
      </c>
      <c r="Z69" s="111">
        <f>IF(AND(OR(E69=2,E69=0),G69=3,F69=1),D69,"")</f>
      </c>
      <c r="AA69" s="111">
        <f>IF(AND(OR(E69=3,E69=0),G69=1,F69=1),D69,"")</f>
      </c>
      <c r="AB69" s="111">
        <f>IF(AND(OR(E69=3,E69=0),G69=2,F69=1),D69,"")</f>
      </c>
      <c r="AC69" s="111">
        <f>IF(AND(OR(E69=3,E69=0),G69=3,F69=1),D69,"")</f>
      </c>
      <c r="AD69" s="111">
        <f>IF(AND(OR(E69=1,E69=0),G69=1,F69=0),J69,"")</f>
      </c>
      <c r="AE69" s="111">
        <f>IF(AND(OR(E69=1,E69=0),G69=2,F69=0),J69,"")</f>
      </c>
      <c r="AF69" s="111">
        <f>IF(AND(OR(E69=1,E69=0),G69=3,F69=0),J69,"")</f>
      </c>
      <c r="AG69" s="111">
        <f>IF(AND(OR(E69=1,E69=0),G69=1,F69=1),J69,"")</f>
      </c>
      <c r="AH69" s="111">
        <f>IF(AND(OR(E69=1,E69=0),G69=2,F69=1),J69,"")</f>
      </c>
      <c r="AI69" s="111">
        <f>IF(AND(OR(E69=1,E69=0),G69=3,F69=1),J69,"")</f>
      </c>
      <c r="AJ69" s="111">
        <f>IF(AND(OR(E69=2,E69=0),G69=1,F69=0),J69,"")</f>
      </c>
      <c r="AK69" s="111">
        <f>IF(AND(OR(E69=2,E69=0),G69=2,F69=0),J69,"")</f>
      </c>
      <c r="AL69" s="111">
        <f>IF(AND(OR(E69=2,E69=0),G69=3,F69=0),J69,"")</f>
      </c>
      <c r="AM69" s="111">
        <f>IF(AND(OR(E69=2,E69=0),G69=1,F69=1),J69,"")</f>
      </c>
      <c r="AN69" s="111">
        <f>IF(AND(OR(E69=2,E69=0),G69=2,F69=1),J69,"")</f>
      </c>
      <c r="AO69" s="111">
        <f>IF(AND(OR(E69=2,E69=0),G69=3,F69=1),J69,"")</f>
      </c>
      <c r="AP69" s="111">
        <f>IF(AND(OR(E69=3,E69=0),G69=1,F69=0),J69,"")</f>
      </c>
      <c r="AQ69" s="111">
        <f>IF(AND(OR(E69=3,E69=0),G69=2,F69=0),J69,"")</f>
      </c>
      <c r="AR69" s="111">
        <f>IF(AND(OR(E69=3,E69=0),G69=3,F69=0),J69,"")</f>
      </c>
      <c r="AS69" s="111">
        <f>IF(AND(OR(E69=3,E69=0),G69=1,F69=1),J69,"")</f>
      </c>
      <c r="AT69" s="111">
        <f>IF(AND(OR(E69=3,E69=0),G69=2,F69=1),J69,"")</f>
      </c>
      <c r="AU69" s="111">
        <f>IF(AND(OR(E69=3,E69=0),G69=3,F69=1),J69,"")</f>
      </c>
    </row>
    <row customHeight="true" ht="19" r="70">
      <c r="A70" s="75" t="str">
        <v>何やってるんだろう、（红再动）</v>
      </c>
      <c r="B70" s="75" t="str"/>
      <c r="C70" s="75" t="str"/>
      <c r="D70" s="116">
        <f>持有情况!G34-ROW()*1e-05</f>
      </c>
      <c r="E70" s="117">
        <v>0</v>
      </c>
      <c r="F70" s="116">
        <v>1</v>
      </c>
      <c r="G70" s="116">
        <v>1</v>
      </c>
      <c r="H70" s="116">
        <v>1</v>
      </c>
      <c r="I70" s="111" t="str">
        <v>红再动</v>
      </c>
      <c r="J70" s="116">
        <f>INT(60+6*路线!B17+4*(路线!B28+路线!B29)+40)-ROW()*1e-05</f>
      </c>
      <c r="K70" s="1" t="str"/>
      <c r="L70" s="111">
        <f>IF(AND(OR(E70=1,E70=0),G70=1),D70,"")</f>
      </c>
      <c r="M70" s="111">
        <f>IF(AND(OR(E70=2,E70=0),G70=1),D70,"")</f>
      </c>
      <c r="N70" s="111">
        <f>IF(AND(OR(E70=3,E70=0),G70=1),D70,"")</f>
      </c>
      <c r="O70" s="111">
        <f>IF(AND(OR(E70=1,E70=0),G70=2),D70,"")</f>
      </c>
      <c r="P70" s="111">
        <f>IF(AND(OR(E70=2,E70=0),G70=2),D70,"")</f>
      </c>
      <c r="Q70" s="111">
        <f>IF(AND(OR(E70=3,E70=0),G70=2),D70,"")</f>
      </c>
      <c r="R70" s="111">
        <f>IF(AND(OR(E70=1,E70=0),G70=3),D70,"")</f>
      </c>
      <c r="S70" s="111">
        <f>IF(AND(OR(E70=2,E70=0),G70=3),D70,"")</f>
      </c>
      <c r="T70" s="111">
        <f>IF(AND(OR(E70=3,E70=0),G70=3),D70,"")</f>
      </c>
      <c r="U70" s="111">
        <f>IF(AND(OR(E70=1,E70=0),G70=1,F70=1),D70,"")</f>
      </c>
      <c r="V70" s="111">
        <f>IF(AND(OR(E70=1,E70=0),G70=2,F70=1),D70,"")</f>
      </c>
      <c r="W70" s="111">
        <f>IF(AND(OR(E70=1,E70=0),G70=3,F70=1),D70,"")</f>
      </c>
      <c r="X70" s="111">
        <f>IF(AND(OR(E70=2,E70=0),G70=1,F70=1),D70,"")</f>
      </c>
      <c r="Y70" s="111">
        <f>IF(AND(OR(E70=2,E70=0),G70=2,F70=1),D70,"")</f>
      </c>
      <c r="Z70" s="111">
        <f>IF(AND(OR(E70=2,E70=0),G70=3,F70=1),D70,"")</f>
      </c>
      <c r="AA70" s="111">
        <f>IF(AND(OR(E70=3,E70=0),G70=1,F70=1),D70,"")</f>
      </c>
      <c r="AB70" s="111">
        <f>IF(AND(OR(E70=3,E70=0),G70=2,F70=1),D70,"")</f>
      </c>
      <c r="AC70" s="111">
        <f>IF(AND(OR(E70=3,E70=0),G70=3,F70=1),D70,"")</f>
      </c>
      <c r="AD70" s="111">
        <f>IF(AND(OR(E70=1,E70=0),G70=1,F70=0),J70,"")</f>
      </c>
      <c r="AE70" s="111">
        <f>IF(AND(OR(E70=1,E70=0),G70=2,F70=0),J70,"")</f>
      </c>
      <c r="AF70" s="111">
        <f>IF(AND(OR(E70=1,E70=0),G70=3,F70=0),J70,"")</f>
      </c>
      <c r="AG70" s="111">
        <f>IF(AND(OR(E70=1,E70=0),G70=1,F70=1),J70,"")</f>
      </c>
      <c r="AH70" s="111">
        <f>IF(AND(OR(E70=1,E70=0),G70=2,F70=1),J70,"")</f>
      </c>
      <c r="AI70" s="111">
        <f>IF(AND(OR(E70=1,E70=0),G70=3,F70=1),J70,"")</f>
      </c>
      <c r="AJ70" s="111">
        <f>IF(AND(OR(E70=2,E70=0),G70=1,F70=0),J70,"")</f>
      </c>
      <c r="AK70" s="111">
        <f>IF(AND(OR(E70=2,E70=0),G70=2,F70=0),J70,"")</f>
      </c>
      <c r="AL70" s="111">
        <f>IF(AND(OR(E70=2,E70=0),G70=3,F70=0),J70,"")</f>
      </c>
      <c r="AM70" s="111">
        <f>IF(AND(OR(E70=2,E70=0),G70=1,F70=1),J70,"")</f>
      </c>
      <c r="AN70" s="111">
        <f>IF(AND(OR(E70=2,E70=0),G70=2,F70=1),J70,"")</f>
      </c>
      <c r="AO70" s="111">
        <f>IF(AND(OR(E70=2,E70=0),G70=3,F70=1),J70,"")</f>
      </c>
      <c r="AP70" s="111">
        <f>IF(AND(OR(E70=3,E70=0),G70=1,F70=0),J70,"")</f>
      </c>
      <c r="AQ70" s="111">
        <f>IF(AND(OR(E70=3,E70=0),G70=2,F70=0),J70,"")</f>
      </c>
      <c r="AR70" s="111">
        <f>IF(AND(OR(E70=3,E70=0),G70=3,F70=0),J70,"")</f>
      </c>
      <c r="AS70" s="111">
        <f>IF(AND(OR(E70=3,E70=0),G70=1,F70=1),J70,"")</f>
      </c>
      <c r="AT70" s="111">
        <f>IF(AND(OR(E70=3,E70=0),G70=2,F70=1),J70,"")</f>
      </c>
      <c r="AU70" s="111">
        <f>IF(AND(OR(E70=3,E70=0),G70=3,F70=1),J70,"")</f>
      </c>
    </row>
    <row customHeight="true" ht="19" r="71">
      <c r="A71" s="99" t="str">
        <v>ディカプルエックスエル！（圣诞斯大广）</v>
      </c>
      <c r="B71" s="99" t="str"/>
      <c r="C71" s="99" t="str"/>
      <c r="D71" s="116">
        <f>持有情况!AU70-ROW()*1e-05</f>
      </c>
      <c r="E71" s="116">
        <v>1</v>
      </c>
      <c r="F71" s="117">
        <v>0</v>
      </c>
      <c r="G71" s="116">
        <v>2</v>
      </c>
      <c r="H71" s="116">
        <v>1</v>
      </c>
      <c r="I71" s="111" t="str">
        <v>圣诞斯大广</v>
      </c>
      <c r="J71" s="116">
        <f>INT((6.4/100)*路线!B12+8*路线!B33+13*路线!B18+30)-ROW()*1e-05</f>
      </c>
      <c r="K71" s="1" t="str"/>
      <c r="L71" s="111">
        <f>IF(AND(OR(E71=1,E71=0),G71=1),D71,"")</f>
      </c>
      <c r="M71" s="111">
        <f>IF(AND(OR(E71=2,E71=0),G71=1),D71,"")</f>
      </c>
      <c r="N71" s="111">
        <f>IF(AND(OR(E71=3,E71=0),G71=1),D71,"")</f>
      </c>
      <c r="O71" s="111">
        <f>IF(AND(OR(E71=1,E71=0),G71=2),D71,"")</f>
      </c>
      <c r="P71" s="111">
        <f>IF(AND(OR(E71=2,E71=0),G71=2),D71,"")</f>
      </c>
      <c r="Q71" s="111">
        <f>IF(AND(OR(E71=3,E71=0),G71=2),D71,"")</f>
      </c>
      <c r="R71" s="111">
        <f>IF(AND(OR(E71=1,E71=0),G71=3),D71,"")</f>
      </c>
      <c r="S71" s="111">
        <f>IF(AND(OR(E71=2,E71=0),G71=3),D71,"")</f>
      </c>
      <c r="T71" s="111">
        <f>IF(AND(OR(E71=3,E71=0),G71=3),D71,"")</f>
      </c>
      <c r="U71" s="111">
        <f>IF(AND(OR(E71=1,E71=0),G71=1,F71=1),D71,"")</f>
      </c>
      <c r="V71" s="111">
        <f>IF(AND(OR(E71=1,E71=0),G71=2,F71=1),D71,"")</f>
      </c>
      <c r="W71" s="111">
        <f>IF(AND(OR(E71=1,E71=0),G71=3,F71=1),D71,"")</f>
      </c>
      <c r="X71" s="111">
        <f>IF(AND(OR(E71=2,E71=0),G71=1,F71=1),D71,"")</f>
      </c>
      <c r="Y71" s="111">
        <f>IF(AND(OR(E71=2,E71=0),G71=2,F71=1),D71,"")</f>
      </c>
      <c r="Z71" s="111">
        <f>IF(AND(OR(E71=2,E71=0),G71=3,F71=1),D71,"")</f>
      </c>
      <c r="AA71" s="111">
        <f>IF(AND(OR(E71=3,E71=0),G71=1,F71=1),D71,"")</f>
      </c>
      <c r="AB71" s="111">
        <f>IF(AND(OR(E71=3,E71=0),G71=2,F71=1),D71,"")</f>
      </c>
      <c r="AC71" s="111">
        <f>IF(AND(OR(E71=3,E71=0),G71=3,F71=1),D71,"")</f>
      </c>
      <c r="AD71" s="111">
        <f>IF(AND(OR(E71=1,E71=0),G71=1,F71=0),J71,"")</f>
      </c>
      <c r="AE71" s="111">
        <f>IF(AND(OR(E71=1,E71=0),G71=2,F71=0),J71,"")</f>
      </c>
      <c r="AF71" s="111">
        <f>IF(AND(OR(E71=1,E71=0),G71=3,F71=0),J71,"")</f>
      </c>
      <c r="AG71" s="111">
        <f>IF(AND(OR(E71=1,E71=0),G71=1,F71=1),J71,"")</f>
      </c>
      <c r="AH71" s="111">
        <f>IF(AND(OR(E71=1,E71=0),G71=2,F71=1),J71,"")</f>
      </c>
      <c r="AI71" s="111">
        <f>IF(AND(OR(E71=1,E71=0),G71=3,F71=1),J71,"")</f>
      </c>
      <c r="AJ71" s="111">
        <f>IF(AND(OR(E71=2,E71=0),G71=1,F71=0),J71,"")</f>
      </c>
      <c r="AK71" s="111">
        <f>IF(AND(OR(E71=2,E71=0),G71=2,F71=0),J71,"")</f>
      </c>
      <c r="AL71" s="111">
        <f>IF(AND(OR(E71=2,E71=0),G71=3,F71=0),J71,"")</f>
      </c>
      <c r="AM71" s="111">
        <f>IF(AND(OR(E71=2,E71=0),G71=1,F71=1),J71,"")</f>
      </c>
      <c r="AN71" s="111">
        <f>IF(AND(OR(E71=2,E71=0),G71=2,F71=1),J71,"")</f>
      </c>
      <c r="AO71" s="111">
        <f>IF(AND(OR(E71=2,E71=0),G71=3,F71=1),J71,"")</f>
      </c>
      <c r="AP71" s="111">
        <f>IF(AND(OR(E71=3,E71=0),G71=1,F71=0),J71,"")</f>
      </c>
      <c r="AQ71" s="111">
        <f>IF(AND(OR(E71=3,E71=0),G71=2,F71=0),J71,"")</f>
      </c>
      <c r="AR71" s="111">
        <f>IF(AND(OR(E71=3,E71=0),G71=3,F71=0),J71,"")</f>
      </c>
      <c r="AS71" s="111">
        <f>IF(AND(OR(E71=3,E71=0),G71=1,F71=1),J71,"")</f>
      </c>
      <c r="AT71" s="111">
        <f>IF(AND(OR(E71=3,E71=0),G71=2,F71=1),J71,"")</f>
      </c>
      <c r="AU71" s="111">
        <f>IF(AND(OR(E71=3,E71=0),G71=3,F71=1),J71,"")</f>
      </c>
    </row>
    <row customHeight="true" ht="19" r="72">
      <c r="A72" s="99" t="str">
        <v>カロリー/2でハッピー×2（包子）</v>
      </c>
      <c r="B72" s="99" t="str"/>
      <c r="C72" s="99" t="str"/>
      <c r="D72" s="116">
        <f>持有情况!AU82-ROW()*1e-05</f>
      </c>
      <c r="E72" s="117">
        <v>0</v>
      </c>
      <c r="F72" s="117">
        <v>0</v>
      </c>
      <c r="G72" s="116">
        <v>2</v>
      </c>
      <c r="H72" s="117">
        <v>0</v>
      </c>
      <c r="I72" s="1" t="str"/>
      <c r="J72" s="116">
        <f>INT(45+3*(路线!B28+路线!B29)+11*路线!B34+13*路线!B15+30)-ROW()*1e-05</f>
      </c>
      <c r="K72" s="1" t="str"/>
      <c r="L72" s="111">
        <f>IF(AND(OR(E72=1,E72=0),G72=1),D72,"")</f>
      </c>
      <c r="M72" s="111">
        <f>IF(AND(OR(E72=2,E72=0),G72=1),D72,"")</f>
      </c>
      <c r="N72" s="111">
        <f>IF(AND(OR(E72=3,E72=0),G72=1),D72,"")</f>
      </c>
      <c r="O72" s="111">
        <f>IF(AND(OR(E72=1,E72=0),G72=2),D72,"")</f>
      </c>
      <c r="P72" s="111">
        <f>IF(AND(OR(E72=2,E72=0),G72=2),D72,"")</f>
      </c>
      <c r="Q72" s="111">
        <f>IF(AND(OR(E72=3,E72=0),G72=2),D72,"")</f>
      </c>
      <c r="R72" s="111">
        <f>IF(AND(OR(E72=1,E72=0),G72=3),D72,"")</f>
      </c>
      <c r="S72" s="111">
        <f>IF(AND(OR(E72=2,E72=0),G72=3),D72,"")</f>
      </c>
      <c r="T72" s="111">
        <f>IF(AND(OR(E72=3,E72=0),G72=3),D72,"")</f>
      </c>
      <c r="U72" s="111">
        <f>IF(AND(OR(E72=1,E72=0),G72=1,F72=1),D72,"")</f>
      </c>
      <c r="V72" s="111">
        <f>IF(AND(OR(E72=1,E72=0),G72=2,F72=1),D72,"")</f>
      </c>
      <c r="W72" s="111">
        <f>IF(AND(OR(E72=1,E72=0),G72=3,F72=1),D72,"")</f>
      </c>
      <c r="X72" s="111">
        <f>IF(AND(OR(E72=2,E72=0),G72=1,F72=1),D72,"")</f>
      </c>
      <c r="Y72" s="111">
        <f>IF(AND(OR(E72=2,E72=0),G72=2,F72=1),D72,"")</f>
      </c>
      <c r="Z72" s="111">
        <f>IF(AND(OR(E72=2,E72=0),G72=3,F72=1),D72,"")</f>
      </c>
      <c r="AA72" s="111">
        <f>IF(AND(OR(E72=3,E72=0),G72=1,F72=1),D72,"")</f>
      </c>
      <c r="AB72" s="111">
        <f>IF(AND(OR(E72=3,E72=0),G72=2,F72=1),D72,"")</f>
      </c>
      <c r="AC72" s="111">
        <f>IF(AND(OR(E72=3,E72=0),G72=3,F72=1),D72,"")</f>
      </c>
      <c r="AD72" s="111">
        <f>IF(AND(OR(E72=1,E72=0),G72=1,F72=0),J72,"")</f>
      </c>
      <c r="AE72" s="111">
        <f>IF(AND(OR(E72=1,E72=0),G72=2,F72=0),J72,"")</f>
      </c>
      <c r="AF72" s="111">
        <f>IF(AND(OR(E72=1,E72=0),G72=3,F72=0),J72,"")</f>
      </c>
      <c r="AG72" s="111">
        <f>IF(AND(OR(E72=1,E72=0),G72=1,F72=1),J72,"")</f>
      </c>
      <c r="AH72" s="111">
        <f>IF(AND(OR(E72=1,E72=0),G72=2,F72=1),J72,"")</f>
      </c>
      <c r="AI72" s="111">
        <f>IF(AND(OR(E72=1,E72=0),G72=3,F72=1),J72,"")</f>
      </c>
      <c r="AJ72" s="111">
        <f>IF(AND(OR(E72=2,E72=0),G72=1,F72=0),J72,"")</f>
      </c>
      <c r="AK72" s="111">
        <f>IF(AND(OR(E72=2,E72=0),G72=2,F72=0),J72,"")</f>
      </c>
      <c r="AL72" s="111">
        <f>IF(AND(OR(E72=2,E72=0),G72=3,F72=0),J72,"")</f>
      </c>
      <c r="AM72" s="111">
        <f>IF(AND(OR(E72=2,E72=0),G72=1,F72=1),J72,"")</f>
      </c>
      <c r="AN72" s="111">
        <f>IF(AND(OR(E72=2,E72=0),G72=2,F72=1),J72,"")</f>
      </c>
      <c r="AO72" s="111">
        <f>IF(AND(OR(E72=2,E72=0),G72=3,F72=1),J72,"")</f>
      </c>
      <c r="AP72" s="111">
        <f>IF(AND(OR(E72=3,E72=0),G72=1,F72=0),J72,"")</f>
      </c>
      <c r="AQ72" s="111">
        <f>IF(AND(OR(E72=3,E72=0),G72=2,F72=0),J72,"")</f>
      </c>
      <c r="AR72" s="111">
        <f>IF(AND(OR(E72=3,E72=0),G72=3,F72=0),J72,"")</f>
      </c>
      <c r="AS72" s="111">
        <f>IF(AND(OR(E72=3,E72=0),G72=1,F72=1),J72,"")</f>
      </c>
      <c r="AT72" s="111">
        <f>IF(AND(OR(E72=3,E72=0),G72=2,F72=1),J72,"")</f>
      </c>
      <c r="AU72" s="111">
        <f>IF(AND(OR(E72=3,E72=0),G72=3,F72=1),J72,"")</f>
      </c>
    </row>
    <row customHeight="true" ht="19" r="73">
      <c r="A73" s="86" t="str">
        <v>サンマ、パタパタ（千奈做饭）</v>
      </c>
      <c r="B73" s="86" t="str"/>
      <c r="C73" s="86" t="str"/>
      <c r="D73" s="116">
        <f>持有情况!BE58-ROW()*1e-05</f>
      </c>
      <c r="E73" s="117">
        <v>0</v>
      </c>
      <c r="F73" s="117">
        <v>0</v>
      </c>
      <c r="G73" s="116">
        <v>3</v>
      </c>
      <c r="H73" s="116">
        <v>1</v>
      </c>
      <c r="I73" s="111" t="str">
        <v>千奈做饭</v>
      </c>
      <c r="J73" s="116">
        <f>IF(路线!C6="计算",INT(45+3*(路线!B28+路线!B29)+13*路线!B18+30+20)-ROW()*1e-05,INT(45+3*(路线!B28+路线!B29)+13*路线!B18+30)-ROW()*1e-05)</f>
      </c>
      <c r="K73" s="1" t="str"/>
      <c r="L73" s="111">
        <f>IF(AND(OR(E73=1,E73=0),G73=1),D73,"")</f>
      </c>
      <c r="M73" s="111">
        <f>IF(AND(OR(E73=2,E73=0),G73=1),D73,"")</f>
      </c>
      <c r="N73" s="111">
        <f>IF(AND(OR(E73=3,E73=0),G73=1),D73,"")</f>
      </c>
      <c r="O73" s="111">
        <f>IF(AND(OR(E73=1,E73=0),G73=2),D73,"")</f>
      </c>
      <c r="P73" s="111">
        <f>IF(AND(OR(E73=2,E73=0),G73=2),D73,"")</f>
      </c>
      <c r="Q73" s="111">
        <f>IF(AND(OR(E73=3,E73=0),G73=2),D73,"")</f>
      </c>
      <c r="R73" s="111">
        <f>IF(AND(OR(E73=1,E73=0),G73=3),D73,"")</f>
      </c>
      <c r="S73" s="111">
        <f>IF(AND(OR(E73=2,E73=0),G73=3),D73,"")</f>
      </c>
      <c r="T73" s="111">
        <f>IF(AND(OR(E73=3,E73=0),G73=3),D73,"")</f>
      </c>
      <c r="U73" s="111">
        <f>IF(AND(OR(E73=1,E73=0),G73=1,F73=1),D73,"")</f>
      </c>
      <c r="V73" s="111">
        <f>IF(AND(OR(E73=1,E73=0),G73=2,F73=1),D73,"")</f>
      </c>
      <c r="W73" s="111">
        <f>IF(AND(OR(E73=1,E73=0),G73=3,F73=1),D73,"")</f>
      </c>
      <c r="X73" s="111">
        <f>IF(AND(OR(E73=2,E73=0),G73=1,F73=1),D73,"")</f>
      </c>
      <c r="Y73" s="111">
        <f>IF(AND(OR(E73=2,E73=0),G73=2,F73=1),D73,"")</f>
      </c>
      <c r="Z73" s="111">
        <f>IF(AND(OR(E73=2,E73=0),G73=3,F73=1),D73,"")</f>
      </c>
      <c r="AA73" s="111">
        <f>IF(AND(OR(E73=3,E73=0),G73=1,F73=1),D73,"")</f>
      </c>
      <c r="AB73" s="111">
        <f>IF(AND(OR(E73=3,E73=0),G73=2,F73=1),D73,"")</f>
      </c>
      <c r="AC73" s="111">
        <f>IF(AND(OR(E73=3,E73=0),G73=3,F73=1),D73,"")</f>
      </c>
      <c r="AD73" s="111">
        <f>IF(AND(OR(E73=1,E73=0),G73=1,F73=0),J73,"")</f>
      </c>
      <c r="AE73" s="111">
        <f>IF(AND(OR(E73=1,E73=0),G73=2,F73=0),J73,"")</f>
      </c>
      <c r="AF73" s="111">
        <f>IF(AND(OR(E73=1,E73=0),G73=3,F73=0),J73,"")</f>
      </c>
      <c r="AG73" s="111">
        <f>IF(AND(OR(E73=1,E73=0),G73=1,F73=1),J73,"")</f>
      </c>
      <c r="AH73" s="111">
        <f>IF(AND(OR(E73=1,E73=0),G73=2,F73=1),J73,"")</f>
      </c>
      <c r="AI73" s="111">
        <f>IF(AND(OR(E73=1,E73=0),G73=3,F73=1),J73,"")</f>
      </c>
      <c r="AJ73" s="111">
        <f>IF(AND(OR(E73=2,E73=0),G73=1,F73=0),J73,"")</f>
      </c>
      <c r="AK73" s="111">
        <f>IF(AND(OR(E73=2,E73=0),G73=2,F73=0),J73,"")</f>
      </c>
      <c r="AL73" s="111">
        <f>IF(AND(OR(E73=2,E73=0),G73=3,F73=0),J73,"")</f>
      </c>
      <c r="AM73" s="111">
        <f>IF(AND(OR(E73=2,E73=0),G73=1,F73=1),J73,"")</f>
      </c>
      <c r="AN73" s="111">
        <f>IF(AND(OR(E73=2,E73=0),G73=2,F73=1),J73,"")</f>
      </c>
      <c r="AO73" s="111">
        <f>IF(AND(OR(E73=2,E73=0),G73=3,F73=1),J73,"")</f>
      </c>
      <c r="AP73" s="111">
        <f>IF(AND(OR(E73=3,E73=0),G73=1,F73=0),J73,"")</f>
      </c>
      <c r="AQ73" s="111">
        <f>IF(AND(OR(E73=3,E73=0),G73=2,F73=0),J73,"")</f>
      </c>
      <c r="AR73" s="111">
        <f>IF(AND(OR(E73=3,E73=0),G73=3,F73=0),J73,"")</f>
      </c>
      <c r="AS73" s="111">
        <f>IF(AND(OR(E73=3,E73=0),G73=1,F73=1),J73,"")</f>
      </c>
      <c r="AT73" s="111">
        <f>IF(AND(OR(E73=3,E73=0),G73=2,F73=1),J73,"")</f>
      </c>
      <c r="AU73" s="111">
        <f>IF(AND(OR(E73=3,E73=0),G73=3,F73=1),J73,"")</f>
      </c>
    </row>
    <row customHeight="true" ht="19" r="74">
      <c r="A74" s="86" t="str">
        <v>やさしさ、あったかい（白毛哭哭）</v>
      </c>
      <c r="B74" s="86" t="str"/>
      <c r="C74" s="86" t="str"/>
      <c r="D74" s="116">
        <f>持有情况!BE40-ROW()*1e-05</f>
      </c>
      <c r="E74" s="116">
        <v>1</v>
      </c>
      <c r="F74" s="117">
        <v>0</v>
      </c>
      <c r="G74" s="116">
        <v>3</v>
      </c>
      <c r="H74" s="116">
        <v>1</v>
      </c>
      <c r="I74" s="111" t="str">
        <v>白毛哭哭</v>
      </c>
      <c r="J74" s="116">
        <f>IF(路线!C6="计算",INT(45+10*路线!B31+4*路线!B17+30+20)-ROW()*1e-05,INT(45+10*路线!B31+4*路线!B17+30)-ROW()*1e-05)</f>
      </c>
      <c r="K74" s="1" t="str"/>
      <c r="L74" s="111">
        <f>IF(AND(OR(E74=1,E74=0),G74=1),D74,"")</f>
      </c>
      <c r="M74" s="111">
        <f>IF(AND(OR(E74=2,E74=0),G74=1),D74,"")</f>
      </c>
      <c r="N74" s="111">
        <f>IF(AND(OR(E74=3,E74=0),G74=1),D74,"")</f>
      </c>
      <c r="O74" s="111">
        <f>IF(AND(OR(E74=1,E74=0),G74=2),D74,"")</f>
      </c>
      <c r="P74" s="111">
        <f>IF(AND(OR(E74=2,E74=0),G74=2),D74,"")</f>
      </c>
      <c r="Q74" s="111">
        <f>IF(AND(OR(E74=3,E74=0),G74=2),D74,"")</f>
      </c>
      <c r="R74" s="111">
        <f>IF(AND(OR(E74=1,E74=0),G74=3),D74,"")</f>
      </c>
      <c r="S74" s="111">
        <f>IF(AND(OR(E74=2,E74=0),G74=3),D74,"")</f>
      </c>
      <c r="T74" s="111">
        <f>IF(AND(OR(E74=3,E74=0),G74=3),D74,"")</f>
      </c>
      <c r="U74" s="111">
        <f>IF(AND(OR(E74=1,E74=0),G74=1,F74=1),D74,"")</f>
      </c>
      <c r="V74" s="111">
        <f>IF(AND(OR(E74=1,E74=0),G74=2,F74=1),D74,"")</f>
      </c>
      <c r="W74" s="111">
        <f>IF(AND(OR(E74=1,E74=0),G74=3,F74=1),D74,"")</f>
      </c>
      <c r="X74" s="111">
        <f>IF(AND(OR(E74=2,E74=0),G74=1,F74=1),D74,"")</f>
      </c>
      <c r="Y74" s="111">
        <f>IF(AND(OR(E74=2,E74=0),G74=2,F74=1),D74,"")</f>
      </c>
      <c r="Z74" s="111">
        <f>IF(AND(OR(E74=2,E74=0),G74=3,F74=1),D74,"")</f>
      </c>
      <c r="AA74" s="111">
        <f>IF(AND(OR(E74=3,E74=0),G74=1,F74=1),D74,"")</f>
      </c>
      <c r="AB74" s="111">
        <f>IF(AND(OR(E74=3,E74=0),G74=2,F74=1),D74,"")</f>
      </c>
      <c r="AC74" s="111">
        <f>IF(AND(OR(E74=3,E74=0),G74=3,F74=1),D74,"")</f>
      </c>
      <c r="AD74" s="111">
        <f>IF(AND(OR(E74=1,E74=0),G74=1,F74=0),J74,"")</f>
      </c>
      <c r="AE74" s="111">
        <f>IF(AND(OR(E74=1,E74=0),G74=2,F74=0),J74,"")</f>
      </c>
      <c r="AF74" s="111">
        <f>IF(AND(OR(E74=1,E74=0),G74=3,F74=0),J74,"")</f>
      </c>
      <c r="AG74" s="111">
        <f>IF(AND(OR(E74=1,E74=0),G74=1,F74=1),J74,"")</f>
      </c>
      <c r="AH74" s="111">
        <f>IF(AND(OR(E74=1,E74=0),G74=2,F74=1),J74,"")</f>
      </c>
      <c r="AI74" s="111">
        <f>IF(AND(OR(E74=1,E74=0),G74=3,F74=1),J74,"")</f>
      </c>
      <c r="AJ74" s="111">
        <f>IF(AND(OR(E74=2,E74=0),G74=1,F74=0),J74,"")</f>
      </c>
      <c r="AK74" s="111">
        <f>IF(AND(OR(E74=2,E74=0),G74=2,F74=0),J74,"")</f>
      </c>
      <c r="AL74" s="111">
        <f>IF(AND(OR(E74=2,E74=0),G74=3,F74=0),J74,"")</f>
      </c>
      <c r="AM74" s="111">
        <f>IF(AND(OR(E74=2,E74=0),G74=1,F74=1),J74,"")</f>
      </c>
      <c r="AN74" s="111">
        <f>IF(AND(OR(E74=2,E74=0),G74=2,F74=1),J74,"")</f>
      </c>
      <c r="AO74" s="111">
        <f>IF(AND(OR(E74=2,E74=0),G74=3,F74=1),J74,"")</f>
      </c>
      <c r="AP74" s="111">
        <f>IF(AND(OR(E74=3,E74=0),G74=1,F74=0),J74,"")</f>
      </c>
      <c r="AQ74" s="111">
        <f>IF(AND(OR(E74=3,E74=0),G74=2,F74=0),J74,"")</f>
      </c>
      <c r="AR74" s="111">
        <f>IF(AND(OR(E74=3,E74=0),G74=3,F74=0),J74,"")</f>
      </c>
      <c r="AS74" s="111">
        <f>IF(AND(OR(E74=3,E74=0),G74=1,F74=1),J74,"")</f>
      </c>
      <c r="AT74" s="111">
        <f>IF(AND(OR(E74=3,E74=0),G74=2,F74=1),J74,"")</f>
      </c>
      <c r="AU74" s="111">
        <f>IF(AND(OR(E74=3,E74=0),G74=3,F74=1),J74,"")</f>
      </c>
    </row>
    <row customHeight="true" ht="19" r="75">
      <c r="A75" s="75" t="str">
        <v>ほっとけないクラスメイト（朝助）</v>
      </c>
      <c r="B75" s="75" t="str"/>
      <c r="C75" s="75" t="str"/>
      <c r="D75" s="116">
        <f>持有情况!AK4-ROW()*1e-05</f>
      </c>
      <c r="E75" s="117">
        <v>0</v>
      </c>
      <c r="F75" s="117">
        <v>0</v>
      </c>
      <c r="G75" s="116">
        <v>1</v>
      </c>
      <c r="H75" s="117">
        <v>0</v>
      </c>
      <c r="I75" s="1" t="str"/>
      <c r="J75" s="116">
        <f>INT(45+10*路线!B31+3*(路线!B28+路线!B29)+30)-ROW()*1e-05</f>
      </c>
      <c r="K75" s="1" t="str"/>
      <c r="L75" s="111">
        <f>IF(AND(OR(E75=1,E75=0),G75=1),D75,"")</f>
      </c>
      <c r="M75" s="111">
        <f>IF(AND(OR(E75=2,E75=0),G75=1),D75,"")</f>
      </c>
      <c r="N75" s="111">
        <f>IF(AND(OR(E75=3,E75=0),G75=1),D75,"")</f>
      </c>
      <c r="O75" s="111">
        <f>IF(AND(OR(E75=1,E75=0),G75=2),D75,"")</f>
      </c>
      <c r="P75" s="111">
        <f>IF(AND(OR(E75=2,E75=0),G75=2),D75,"")</f>
      </c>
      <c r="Q75" s="111">
        <f>IF(AND(OR(E75=3,E75=0),G75=2),D75,"")</f>
      </c>
      <c r="R75" s="111">
        <f>IF(AND(OR(E75=1,E75=0),G75=3),D75,"")</f>
      </c>
      <c r="S75" s="111">
        <f>IF(AND(OR(E75=2,E75=0),G75=3),D75,"")</f>
      </c>
      <c r="T75" s="111">
        <f>IF(AND(OR(E75=3,E75=0),G75=3),D75,"")</f>
      </c>
      <c r="U75" s="111">
        <f>IF(AND(OR(E75=1,E75=0),G75=1,F75=1),D75,"")</f>
      </c>
      <c r="V75" s="111">
        <f>IF(AND(OR(E75=1,E75=0),G75=2,F75=1),D75,"")</f>
      </c>
      <c r="W75" s="111">
        <f>IF(AND(OR(E75=1,E75=0),G75=3,F75=1),D75,"")</f>
      </c>
      <c r="X75" s="111">
        <f>IF(AND(OR(E75=2,E75=0),G75=1,F75=1),D75,"")</f>
      </c>
      <c r="Y75" s="111">
        <f>IF(AND(OR(E75=2,E75=0),G75=2,F75=1),D75,"")</f>
      </c>
      <c r="Z75" s="111">
        <f>IF(AND(OR(E75=2,E75=0),G75=3,F75=1),D75,"")</f>
      </c>
      <c r="AA75" s="111">
        <f>IF(AND(OR(E75=3,E75=0),G75=1,F75=1),D75,"")</f>
      </c>
      <c r="AB75" s="111">
        <f>IF(AND(OR(E75=3,E75=0),G75=2,F75=1),D75,"")</f>
      </c>
      <c r="AC75" s="111">
        <f>IF(AND(OR(E75=3,E75=0),G75=3,F75=1),D75,"")</f>
      </c>
      <c r="AD75" s="111">
        <f>IF(AND(OR(E75=1,E75=0),G75=1,F75=0),J75,"")</f>
      </c>
      <c r="AE75" s="111">
        <f>IF(AND(OR(E75=1,E75=0),G75=2,F75=0),J75,"")</f>
      </c>
      <c r="AF75" s="111">
        <f>IF(AND(OR(E75=1,E75=0),G75=3,F75=0),J75,"")</f>
      </c>
      <c r="AG75" s="111">
        <f>IF(AND(OR(E75=1,E75=0),G75=1,F75=1),J75,"")</f>
      </c>
      <c r="AH75" s="111">
        <f>IF(AND(OR(E75=1,E75=0),G75=2,F75=1),J75,"")</f>
      </c>
      <c r="AI75" s="111">
        <f>IF(AND(OR(E75=1,E75=0),G75=3,F75=1),J75,"")</f>
      </c>
      <c r="AJ75" s="111">
        <f>IF(AND(OR(E75=2,E75=0),G75=1,F75=0),J75,"")</f>
      </c>
      <c r="AK75" s="111">
        <f>IF(AND(OR(E75=2,E75=0),G75=2,F75=0),J75,"")</f>
      </c>
      <c r="AL75" s="111">
        <f>IF(AND(OR(E75=2,E75=0),G75=3,F75=0),J75,"")</f>
      </c>
      <c r="AM75" s="111">
        <f>IF(AND(OR(E75=2,E75=0),G75=1,F75=1),J75,"")</f>
      </c>
      <c r="AN75" s="111">
        <f>IF(AND(OR(E75=2,E75=0),G75=2,F75=1),J75,"")</f>
      </c>
      <c r="AO75" s="111">
        <f>IF(AND(OR(E75=2,E75=0),G75=3,F75=1),J75,"")</f>
      </c>
      <c r="AP75" s="111">
        <f>IF(AND(OR(E75=3,E75=0),G75=1,F75=0),J75,"")</f>
      </c>
      <c r="AQ75" s="111">
        <f>IF(AND(OR(E75=3,E75=0),G75=2,F75=0),J75,"")</f>
      </c>
      <c r="AR75" s="111">
        <f>IF(AND(OR(E75=3,E75=0),G75=3,F75=0),J75,"")</f>
      </c>
      <c r="AS75" s="111">
        <f>IF(AND(OR(E75=3,E75=0),G75=1,F75=1),J75,"")</f>
      </c>
      <c r="AT75" s="111">
        <f>IF(AND(OR(E75=3,E75=0),G75=2,F75=1),J75,"")</f>
      </c>
      <c r="AU75" s="111">
        <f>IF(AND(OR(E75=3,E75=0),G75=3,F75=1),J75,"")</f>
      </c>
    </row>
    <row customHeight="true" ht="19" r="76">
      <c r="A76" s="75" t="str">
        <v>第五種接近遭遇（电风扇）</v>
      </c>
      <c r="B76" s="75" t="str"/>
      <c r="C76" s="75" t="str"/>
      <c r="D76" s="116">
        <f>IF(路线!B4="计算",持有情况!AM47,持有情况!AK46)-ROW()*1e-05</f>
      </c>
      <c r="E76" s="116">
        <v>1</v>
      </c>
      <c r="F76" s="117">
        <v>0</v>
      </c>
      <c r="G76" s="116">
        <v>1</v>
      </c>
      <c r="H76" s="117">
        <v>0</v>
      </c>
      <c r="I76" s="1" t="str"/>
      <c r="J76" s="116">
        <f>IF(路线!B4="计算",INT((6.4/100)*路线!B12+8*路线!B33+4*路线!B17+30+持有情况!AM45),INT((6.4/100)*路线!B12+8*路线!B33+4*路线!B17+30))-ROW()*1e-05</f>
      </c>
      <c r="K76" s="1" t="str"/>
      <c r="L76" s="111">
        <f>IF(AND(OR(E76=1,E76=0),G76=1),D76,"")</f>
      </c>
      <c r="M76" s="111">
        <f>IF(AND(OR(E76=2,E76=0),G76=1),D76,"")</f>
      </c>
      <c r="N76" s="111">
        <f>IF(AND(OR(E76=3,E76=0),G76=1),D76,"")</f>
      </c>
      <c r="O76" s="111">
        <f>IF(AND(OR(E76=1,E76=0),G76=2),D76,"")</f>
      </c>
      <c r="P76" s="111">
        <f>IF(AND(OR(E76=2,E76=0),G76=2),D76,"")</f>
      </c>
      <c r="Q76" s="111">
        <f>IF(AND(OR(E76=3,E76=0),G76=2),D76,"")</f>
      </c>
      <c r="R76" s="111">
        <f>IF(AND(OR(E76=1,E76=0),G76=3),D76,"")</f>
      </c>
      <c r="S76" s="111">
        <f>IF(AND(OR(E76=2,E76=0),G76=3),D76,"")</f>
      </c>
      <c r="T76" s="111">
        <f>IF(AND(OR(E76=3,E76=0),G76=3),D76,"")</f>
      </c>
      <c r="U76" s="111">
        <f>IF(AND(OR(E76=1,E76=0),G76=1,F76=1),D76,"")</f>
      </c>
      <c r="V76" s="111">
        <f>IF(AND(OR(E76=1,E76=0),G76=2,F76=1),D76,"")</f>
      </c>
      <c r="W76" s="111">
        <f>IF(AND(OR(E76=1,E76=0),G76=3,F76=1),D76,"")</f>
      </c>
      <c r="X76" s="111">
        <f>IF(AND(OR(E76=2,E76=0),G76=1,F76=1),D76,"")</f>
      </c>
      <c r="Y76" s="111">
        <f>IF(AND(OR(E76=2,E76=0),G76=2,F76=1),D76,"")</f>
      </c>
      <c r="Z76" s="111">
        <f>IF(AND(OR(E76=2,E76=0),G76=3,F76=1),D76,"")</f>
      </c>
      <c r="AA76" s="111">
        <f>IF(AND(OR(E76=3,E76=0),G76=1,F76=1),D76,"")</f>
      </c>
      <c r="AB76" s="111">
        <f>IF(AND(OR(E76=3,E76=0),G76=2,F76=1),D76,"")</f>
      </c>
      <c r="AC76" s="111">
        <f>IF(AND(OR(E76=3,E76=0),G76=3,F76=1),D76,"")</f>
      </c>
      <c r="AD76" s="111">
        <f>IF(AND(OR(E76=1,E76=0),G76=1,F76=0),J76,"")</f>
      </c>
      <c r="AE76" s="111">
        <f>IF(AND(OR(E76=1,E76=0),G76=2,F76=0),J76,"")</f>
      </c>
      <c r="AF76" s="111">
        <f>IF(AND(OR(E76=1,E76=0),G76=3,F76=0),J76,"")</f>
      </c>
      <c r="AG76" s="111">
        <f>IF(AND(OR(E76=1,E76=0),G76=1,F76=1),J76,"")</f>
      </c>
      <c r="AH76" s="111">
        <f>IF(AND(OR(E76=1,E76=0),G76=2,F76=1),J76,"")</f>
      </c>
      <c r="AI76" s="111">
        <f>IF(AND(OR(E76=1,E76=0),G76=3,F76=1),J76,"")</f>
      </c>
      <c r="AJ76" s="111">
        <f>IF(AND(OR(E76=2,E76=0),G76=1,F76=0),J76,"")</f>
      </c>
      <c r="AK76" s="111">
        <f>IF(AND(OR(E76=2,E76=0),G76=2,F76=0),J76,"")</f>
      </c>
      <c r="AL76" s="111">
        <f>IF(AND(OR(E76=2,E76=0),G76=3,F76=0),J76,"")</f>
      </c>
      <c r="AM76" s="111">
        <f>IF(AND(OR(E76=2,E76=0),G76=1,F76=1),J76,"")</f>
      </c>
      <c r="AN76" s="111">
        <f>IF(AND(OR(E76=2,E76=0),G76=2,F76=1),J76,"")</f>
      </c>
      <c r="AO76" s="111">
        <f>IF(AND(OR(E76=2,E76=0),G76=3,F76=1),J76,"")</f>
      </c>
      <c r="AP76" s="111">
        <f>IF(AND(OR(E76=3,E76=0),G76=1,F76=0),J76,"")</f>
      </c>
      <c r="AQ76" s="111">
        <f>IF(AND(OR(E76=3,E76=0),G76=2,F76=0),J76,"")</f>
      </c>
      <c r="AR76" s="111">
        <f>IF(AND(OR(E76=3,E76=0),G76=3,F76=0),J76,"")</f>
      </c>
      <c r="AS76" s="111">
        <f>IF(AND(OR(E76=3,E76=0),G76=1,F76=1),J76,"")</f>
      </c>
      <c r="AT76" s="111">
        <f>IF(AND(OR(E76=3,E76=0),G76=2,F76=1),J76,"")</f>
      </c>
      <c r="AU76" s="111">
        <f>IF(AND(OR(E76=3,E76=0),G76=3,F76=1),J76,"")</f>
      </c>
    </row>
    <row customHeight="true" ht="19" r="77">
      <c r="A77" s="99" t="str">
        <v>ぐぬぬぬぬ…………！（蓝50）</v>
      </c>
      <c r="B77" s="99" t="str"/>
      <c r="C77" s="99" t="str"/>
      <c r="D77" s="116">
        <f>持有情况!Q28-ROW()*1e-05</f>
      </c>
      <c r="E77" s="117">
        <v>0</v>
      </c>
      <c r="F77" s="117">
        <v>0</v>
      </c>
      <c r="G77" s="116">
        <v>2</v>
      </c>
      <c r="H77" s="116">
        <v>1</v>
      </c>
      <c r="I77" s="111" t="str">
        <v>蓝50</v>
      </c>
      <c r="J77" s="116">
        <f>INT((8.5/100)*路线!B12+17*路线!B34+3*路线!B24+40)-ROW()*1e-05</f>
      </c>
      <c r="K77" s="1" t="str"/>
      <c r="L77" s="111">
        <f>IF(AND(OR(E77=1,E77=0),G77=1),D77,"")</f>
      </c>
      <c r="M77" s="111">
        <f>IF(AND(OR(E77=2,E77=0),G77=1),D77,"")</f>
      </c>
      <c r="N77" s="111">
        <f>IF(AND(OR(E77=3,E77=0),G77=1),D77,"")</f>
      </c>
      <c r="O77" s="111">
        <f>IF(AND(OR(E77=1,E77=0),G77=2),D77,"")</f>
      </c>
      <c r="P77" s="111">
        <f>IF(AND(OR(E77=2,E77=0),G77=2),D77,"")</f>
      </c>
      <c r="Q77" s="111">
        <f>IF(AND(OR(E77=3,E77=0),G77=2),D77,"")</f>
      </c>
      <c r="R77" s="111">
        <f>IF(AND(OR(E77=1,E77=0),G77=3),D77,"")</f>
      </c>
      <c r="S77" s="111">
        <f>IF(AND(OR(E77=2,E77=0),G77=3),D77,"")</f>
      </c>
      <c r="T77" s="111">
        <f>IF(AND(OR(E77=3,E77=0),G77=3),D77,"")</f>
      </c>
      <c r="U77" s="111">
        <f>IF(AND(OR(E77=1,E77=0),G77=1,F77=1),D77,"")</f>
      </c>
      <c r="V77" s="111">
        <f>IF(AND(OR(E77=1,E77=0),G77=2,F77=1),D77,"")</f>
      </c>
      <c r="W77" s="111">
        <f>IF(AND(OR(E77=1,E77=0),G77=3,F77=1),D77,"")</f>
      </c>
      <c r="X77" s="111">
        <f>IF(AND(OR(E77=2,E77=0),G77=1,F77=1),D77,"")</f>
      </c>
      <c r="Y77" s="111">
        <f>IF(AND(OR(E77=2,E77=0),G77=2,F77=1),D77,"")</f>
      </c>
      <c r="Z77" s="111">
        <f>IF(AND(OR(E77=2,E77=0),G77=3,F77=1),D77,"")</f>
      </c>
      <c r="AA77" s="111">
        <f>IF(AND(OR(E77=3,E77=0),G77=1,F77=1),D77,"")</f>
      </c>
      <c r="AB77" s="111">
        <f>IF(AND(OR(E77=3,E77=0),G77=2,F77=1),D77,"")</f>
      </c>
      <c r="AC77" s="111">
        <f>IF(AND(OR(E77=3,E77=0),G77=3,F77=1),D77,"")</f>
      </c>
      <c r="AD77" s="111">
        <f>IF(AND(OR(E77=1,E77=0),G77=1,F77=0),J77,"")</f>
      </c>
      <c r="AE77" s="111">
        <f>IF(AND(OR(E77=1,E77=0),G77=2,F77=0),J77,"")</f>
      </c>
      <c r="AF77" s="111">
        <f>IF(AND(OR(E77=1,E77=0),G77=3,F77=0),J77,"")</f>
      </c>
      <c r="AG77" s="111">
        <f>IF(AND(OR(E77=1,E77=0),G77=1,F77=1),J77,"")</f>
      </c>
      <c r="AH77" s="111">
        <f>IF(AND(OR(E77=1,E77=0),G77=2,F77=1),J77,"")</f>
      </c>
      <c r="AI77" s="111">
        <f>IF(AND(OR(E77=1,E77=0),G77=3,F77=1),J77,"")</f>
      </c>
      <c r="AJ77" s="111">
        <f>IF(AND(OR(E77=2,E77=0),G77=1,F77=0),J77,"")</f>
      </c>
      <c r="AK77" s="111">
        <f>IF(AND(OR(E77=2,E77=0),G77=2,F77=0),J77,"")</f>
      </c>
      <c r="AL77" s="111">
        <f>IF(AND(OR(E77=2,E77=0),G77=3,F77=0),J77,"")</f>
      </c>
      <c r="AM77" s="111">
        <f>IF(AND(OR(E77=2,E77=0),G77=1,F77=1),J77,"")</f>
      </c>
      <c r="AN77" s="111">
        <f>IF(AND(OR(E77=2,E77=0),G77=2,F77=1),J77,"")</f>
      </c>
      <c r="AO77" s="111">
        <f>IF(AND(OR(E77=2,E77=0),G77=3,F77=1),J77,"")</f>
      </c>
      <c r="AP77" s="111">
        <f>IF(AND(OR(E77=3,E77=0),G77=1,F77=0),J77,"")</f>
      </c>
      <c r="AQ77" s="111">
        <f>IF(AND(OR(E77=3,E77=0),G77=2,F77=0),J77,"")</f>
      </c>
      <c r="AR77" s="111">
        <f>IF(AND(OR(E77=3,E77=0),G77=3,F77=0),J77,"")</f>
      </c>
      <c r="AS77" s="111">
        <f>IF(AND(OR(E77=3,E77=0),G77=1,F77=1),J77,"")</f>
      </c>
      <c r="AT77" s="111">
        <f>IF(AND(OR(E77=3,E77=0),G77=2,F77=1),J77,"")</f>
      </c>
      <c r="AU77" s="111">
        <f>IF(AND(OR(E77=3,E77=0),G77=3,F77=1),J77,"")</f>
      </c>
    </row>
    <row customHeight="true" ht="19" r="78">
      <c r="A78" s="99" t="str">
        <v>まじか。（光舞台）</v>
      </c>
      <c r="B78" s="99" t="str"/>
      <c r="C78" s="99" t="str"/>
      <c r="D78" s="116">
        <f>持有情况!Q10-ROW()*1e-05</f>
      </c>
      <c r="E78" s="117">
        <v>0</v>
      </c>
      <c r="F78" s="117">
        <v>0</v>
      </c>
      <c r="G78" s="116">
        <v>2</v>
      </c>
      <c r="H78" s="116">
        <v>1</v>
      </c>
      <c r="I78" s="111" t="str">
        <v>光舞台</v>
      </c>
      <c r="J78" s="116">
        <f>IF(路线!C6="计算",INT(60+6*路线!B17+11*路线!B33+40+20)-ROW()*1e-05,INT(60+6*路线!B17+11*路线!B33+40)-ROW()*1e-05)</f>
      </c>
      <c r="K78" s="1" t="str"/>
      <c r="L78" s="111">
        <f>IF(AND(OR(E78=1,E78=0),G78=1),D78,"")</f>
      </c>
      <c r="M78" s="111">
        <f>IF(AND(OR(E78=2,E78=0),G78=1),D78,"")</f>
      </c>
      <c r="N78" s="111">
        <f>IF(AND(OR(E78=3,E78=0),G78=1),D78,"")</f>
      </c>
      <c r="O78" s="111">
        <f>IF(AND(OR(E78=1,E78=0),G78=2),D78,"")</f>
      </c>
      <c r="P78" s="111">
        <f>IF(AND(OR(E78=2,E78=0),G78=2),D78,"")</f>
      </c>
      <c r="Q78" s="111">
        <f>IF(AND(OR(E78=3,E78=0),G78=2),D78,"")</f>
      </c>
      <c r="R78" s="111">
        <f>IF(AND(OR(E78=1,E78=0),G78=3),D78,"")</f>
      </c>
      <c r="S78" s="111">
        <f>IF(AND(OR(E78=2,E78=0),G78=3),D78,"")</f>
      </c>
      <c r="T78" s="111">
        <f>IF(AND(OR(E78=3,E78=0),G78=3),D78,"")</f>
      </c>
      <c r="U78" s="111">
        <f>IF(AND(OR(E78=1,E78=0),G78=1,F78=1),D78,"")</f>
      </c>
      <c r="V78" s="111">
        <f>IF(AND(OR(E78=1,E78=0),G78=2,F78=1),D78,"")</f>
      </c>
      <c r="W78" s="111">
        <f>IF(AND(OR(E78=1,E78=0),G78=3,F78=1),D78,"")</f>
      </c>
      <c r="X78" s="111">
        <f>IF(AND(OR(E78=2,E78=0),G78=1,F78=1),D78,"")</f>
      </c>
      <c r="Y78" s="111">
        <f>IF(AND(OR(E78=2,E78=0),G78=2,F78=1),D78,"")</f>
      </c>
      <c r="Z78" s="111">
        <f>IF(AND(OR(E78=2,E78=0),G78=3,F78=1),D78,"")</f>
      </c>
      <c r="AA78" s="111">
        <f>IF(AND(OR(E78=3,E78=0),G78=1,F78=1),D78,"")</f>
      </c>
      <c r="AB78" s="111">
        <f>IF(AND(OR(E78=3,E78=0),G78=2,F78=1),D78,"")</f>
      </c>
      <c r="AC78" s="111">
        <f>IF(AND(OR(E78=3,E78=0),G78=3,F78=1),D78,"")</f>
      </c>
      <c r="AD78" s="111">
        <f>IF(AND(OR(E78=1,E78=0),G78=1,F78=0),J78,"")</f>
      </c>
      <c r="AE78" s="111">
        <f>IF(AND(OR(E78=1,E78=0),G78=2,F78=0),J78,"")</f>
      </c>
      <c r="AF78" s="111">
        <f>IF(AND(OR(E78=1,E78=0),G78=3,F78=0),J78,"")</f>
      </c>
      <c r="AG78" s="111">
        <f>IF(AND(OR(E78=1,E78=0),G78=1,F78=1),J78,"")</f>
      </c>
      <c r="AH78" s="111">
        <f>IF(AND(OR(E78=1,E78=0),G78=2,F78=1),J78,"")</f>
      </c>
      <c r="AI78" s="111">
        <f>IF(AND(OR(E78=1,E78=0),G78=3,F78=1),J78,"")</f>
      </c>
      <c r="AJ78" s="111">
        <f>IF(AND(OR(E78=2,E78=0),G78=1,F78=0),J78,"")</f>
      </c>
      <c r="AK78" s="111">
        <f>IF(AND(OR(E78=2,E78=0),G78=2,F78=0),J78,"")</f>
      </c>
      <c r="AL78" s="111">
        <f>IF(AND(OR(E78=2,E78=0),G78=3,F78=0),J78,"")</f>
      </c>
      <c r="AM78" s="111">
        <f>IF(AND(OR(E78=2,E78=0),G78=1,F78=1),J78,"")</f>
      </c>
      <c r="AN78" s="111">
        <f>IF(AND(OR(E78=2,E78=0),G78=2,F78=1),J78,"")</f>
      </c>
      <c r="AO78" s="111">
        <f>IF(AND(OR(E78=2,E78=0),G78=3,F78=1),J78,"")</f>
      </c>
      <c r="AP78" s="111">
        <f>IF(AND(OR(E78=3,E78=0),G78=1,F78=0),J78,"")</f>
      </c>
      <c r="AQ78" s="111">
        <f>IF(AND(OR(E78=3,E78=0),G78=2,F78=0),J78,"")</f>
      </c>
      <c r="AR78" s="111">
        <f>IF(AND(OR(E78=3,E78=0),G78=3,F78=0),J78,"")</f>
      </c>
      <c r="AS78" s="111">
        <f>IF(AND(OR(E78=3,E78=0),G78=1,F78=1),J78,"")</f>
      </c>
      <c r="AT78" s="111">
        <f>IF(AND(OR(E78=3,E78=0),G78=2,F78=1),J78,"")</f>
      </c>
      <c r="AU78" s="111">
        <f>IF(AND(OR(E78=3,E78=0),G78=3,F78=1),J78,"")</f>
      </c>
    </row>
    <row customHeight="true" ht="19" r="79">
      <c r="A79" s="86" t="str">
        <v>あったかいね（围巾）</v>
      </c>
      <c r="B79" s="86" t="str"/>
      <c r="C79" s="86" t="str"/>
      <c r="D79" s="116">
        <f>持有情况!AA88-ROW()*1e-05</f>
      </c>
      <c r="E79" s="116">
        <v>2</v>
      </c>
      <c r="F79" s="116">
        <v>1</v>
      </c>
      <c r="G79" s="116">
        <v>3</v>
      </c>
      <c r="H79" s="116">
        <v>1</v>
      </c>
      <c r="I79" s="111" t="str">
        <v>围巾</v>
      </c>
      <c r="J79" s="116">
        <f>INT(60+3*路线!B24+11*路线!B33+40)-ROW()*1e-05</f>
      </c>
      <c r="K79" s="1" t="str"/>
      <c r="L79" s="111">
        <f>IF(AND(OR(E79=1,E79=0),G79=1),D79,"")</f>
      </c>
      <c r="M79" s="111">
        <f>IF(AND(OR(E79=2,E79=0),G79=1),D79,"")</f>
      </c>
      <c r="N79" s="111">
        <f>IF(AND(OR(E79=3,E79=0),G79=1),D79,"")</f>
      </c>
      <c r="O79" s="111">
        <f>IF(AND(OR(E79=1,E79=0),G79=2),D79,"")</f>
      </c>
      <c r="P79" s="111">
        <f>IF(AND(OR(E79=2,E79=0),G79=2),D79,"")</f>
      </c>
      <c r="Q79" s="111">
        <f>IF(AND(OR(E79=3,E79=0),G79=2),D79,"")</f>
      </c>
      <c r="R79" s="111">
        <f>IF(AND(OR(E79=1,E79=0),G79=3),D79,"")</f>
      </c>
      <c r="S79" s="111">
        <f>IF(AND(OR(E79=2,E79=0),G79=3),D79,"")</f>
      </c>
      <c r="T79" s="111">
        <f>IF(AND(OR(E79=3,E79=0),G79=3),D79,"")</f>
      </c>
      <c r="U79" s="111">
        <f>IF(AND(OR(E79=1,E79=0),G79=1,F79=1),D79,"")</f>
      </c>
      <c r="V79" s="111">
        <f>IF(AND(OR(E79=1,E79=0),G79=2,F79=1),D79,"")</f>
      </c>
      <c r="W79" s="111">
        <f>IF(AND(OR(E79=1,E79=0),G79=3,F79=1),D79,"")</f>
      </c>
      <c r="X79" s="111">
        <f>IF(AND(OR(E79=2,E79=0),G79=1,F79=1),D79,"")</f>
      </c>
      <c r="Y79" s="111">
        <f>IF(AND(OR(E79=2,E79=0),G79=2,F79=1),D79,"")</f>
      </c>
      <c r="Z79" s="111">
        <f>IF(AND(OR(E79=2,E79=0),G79=3,F79=1),D79,"")</f>
      </c>
      <c r="AA79" s="111">
        <f>IF(AND(OR(E79=3,E79=0),G79=1,F79=1),D79,"")</f>
      </c>
      <c r="AB79" s="111">
        <f>IF(AND(OR(E79=3,E79=0),G79=2,F79=1),D79,"")</f>
      </c>
      <c r="AC79" s="111">
        <f>IF(AND(OR(E79=3,E79=0),G79=3,F79=1),D79,"")</f>
      </c>
      <c r="AD79" s="111">
        <f>IF(AND(OR(E79=1,E79=0),G79=1,F79=0),J79,"")</f>
      </c>
      <c r="AE79" s="111">
        <f>IF(AND(OR(E79=1,E79=0),G79=2,F79=0),J79,"")</f>
      </c>
      <c r="AF79" s="111">
        <f>IF(AND(OR(E79=1,E79=0),G79=3,F79=0),J79,"")</f>
      </c>
      <c r="AG79" s="111">
        <f>IF(AND(OR(E79=1,E79=0),G79=1,F79=1),J79,"")</f>
      </c>
      <c r="AH79" s="111">
        <f>IF(AND(OR(E79=1,E79=0),G79=2,F79=1),J79,"")</f>
      </c>
      <c r="AI79" s="111">
        <f>IF(AND(OR(E79=1,E79=0),G79=3,F79=1),J79,"")</f>
      </c>
      <c r="AJ79" s="111">
        <f>IF(AND(OR(E79=2,E79=0),G79=1,F79=0),J79,"")</f>
      </c>
      <c r="AK79" s="111">
        <f>IF(AND(OR(E79=2,E79=0),G79=2,F79=0),J79,"")</f>
      </c>
      <c r="AL79" s="111">
        <f>IF(AND(OR(E79=2,E79=0),G79=3,F79=0),J79,"")</f>
      </c>
      <c r="AM79" s="111">
        <f>IF(AND(OR(E79=2,E79=0),G79=1,F79=1),J79,"")</f>
      </c>
      <c r="AN79" s="111">
        <f>IF(AND(OR(E79=2,E79=0),G79=2,F79=1),J79,"")</f>
      </c>
      <c r="AO79" s="111">
        <f>IF(AND(OR(E79=2,E79=0),G79=3,F79=1),J79,"")</f>
      </c>
      <c r="AP79" s="111">
        <f>IF(AND(OR(E79=3,E79=0),G79=1,F79=0),J79,"")</f>
      </c>
      <c r="AQ79" s="111">
        <f>IF(AND(OR(E79=3,E79=0),G79=2,F79=0),J79,"")</f>
      </c>
      <c r="AR79" s="111">
        <f>IF(AND(OR(E79=3,E79=0),G79=3,F79=0),J79,"")</f>
      </c>
      <c r="AS79" s="111">
        <f>IF(AND(OR(E79=3,E79=0),G79=1,F79=1),J79,"")</f>
      </c>
      <c r="AT79" s="111">
        <f>IF(AND(OR(E79=3,E79=0),G79=2,F79=1),J79,"")</f>
      </c>
      <c r="AU79" s="111">
        <f>IF(AND(OR(E79=3,E79=0),G79=3,F79=1),J79,"")</f>
      </c>
    </row>
    <row customHeight="true" ht="19" r="80">
      <c r="A80" s="86" t="str">
        <v>第2回教室パーティー！（一年一班）</v>
      </c>
      <c r="B80" s="86" t="str"/>
      <c r="C80" s="86" t="str"/>
      <c r="D80" s="116">
        <f>持有情况!AA40-ROW()*1e-05</f>
      </c>
      <c r="E80" s="117">
        <v>0</v>
      </c>
      <c r="F80" s="116">
        <v>1</v>
      </c>
      <c r="G80" s="116">
        <v>3</v>
      </c>
      <c r="H80" s="116">
        <v>1</v>
      </c>
      <c r="I80" s="111" t="str">
        <v>一年一班</v>
      </c>
      <c r="J80" s="116">
        <f>IF(路线!C6="计算",INT(60+4*路线!B17+17+40+20)-ROW()*1e-05,INT(60+4*路线!B17+17+40)-ROW()*1e-05)</f>
      </c>
      <c r="K80" s="1" t="str"/>
      <c r="L80" s="111">
        <f>IF(AND(OR(E80=1,E80=0),G80=1),D80,"")</f>
      </c>
      <c r="M80" s="111">
        <f>IF(AND(OR(E80=2,E80=0),G80=1),D80,"")</f>
      </c>
      <c r="N80" s="111">
        <f>IF(AND(OR(E80=3,E80=0),G80=1),D80,"")</f>
      </c>
      <c r="O80" s="111">
        <f>IF(AND(OR(E80=1,E80=0),G80=2),D80,"")</f>
      </c>
      <c r="P80" s="111">
        <f>IF(AND(OR(E80=2,E80=0),G80=2),D80,"")</f>
      </c>
      <c r="Q80" s="111">
        <f>IF(AND(OR(E80=3,E80=0),G80=2),D80,"")</f>
      </c>
      <c r="R80" s="111">
        <f>IF(AND(OR(E80=1,E80=0),G80=3),D80,"")</f>
      </c>
      <c r="S80" s="111">
        <f>IF(AND(OR(E80=2,E80=0),G80=3),D80,"")</f>
      </c>
      <c r="T80" s="111">
        <f>IF(AND(OR(E80=3,E80=0),G80=3),D80,"")</f>
      </c>
      <c r="U80" s="111">
        <f>IF(AND(OR(E80=1,E80=0),G80=1,F80=1),D80,"")</f>
      </c>
      <c r="V80" s="111">
        <f>IF(AND(OR(E80=1,E80=0),G80=2,F80=1),D80,"")</f>
      </c>
      <c r="W80" s="111">
        <f>IF(AND(OR(E80=1,E80=0),G80=3,F80=1),D80,"")</f>
      </c>
      <c r="X80" s="111">
        <f>IF(AND(OR(E80=2,E80=0),G80=1,F80=1),D80,"")</f>
      </c>
      <c r="Y80" s="111">
        <f>IF(AND(OR(E80=2,E80=0),G80=2,F80=1),D80,"")</f>
      </c>
      <c r="Z80" s="111">
        <f>IF(AND(OR(E80=2,E80=0),G80=3,F80=1),D80,"")</f>
      </c>
      <c r="AA80" s="111">
        <f>IF(AND(OR(E80=3,E80=0),G80=1,F80=1),D80,"")</f>
      </c>
      <c r="AB80" s="111">
        <f>IF(AND(OR(E80=3,E80=0),G80=2,F80=1),D80,"")</f>
      </c>
      <c r="AC80" s="111">
        <f>IF(AND(OR(E80=3,E80=0),G80=3,F80=1),D80,"")</f>
      </c>
      <c r="AD80" s="111">
        <f>IF(AND(OR(E80=1,E80=0),G80=1,F80=0),J80,"")</f>
      </c>
      <c r="AE80" s="111">
        <f>IF(AND(OR(E80=1,E80=0),G80=2,F80=0),J80,"")</f>
      </c>
      <c r="AF80" s="111">
        <f>IF(AND(OR(E80=1,E80=0),G80=3,F80=0),J80,"")</f>
      </c>
      <c r="AG80" s="111">
        <f>IF(AND(OR(E80=1,E80=0),G80=1,F80=1),J80,"")</f>
      </c>
      <c r="AH80" s="111">
        <f>IF(AND(OR(E80=1,E80=0),G80=2,F80=1),J80,"")</f>
      </c>
      <c r="AI80" s="111">
        <f>IF(AND(OR(E80=1,E80=0),G80=3,F80=1),J80,"")</f>
      </c>
      <c r="AJ80" s="111">
        <f>IF(AND(OR(E80=2,E80=0),G80=1,F80=0),J80,"")</f>
      </c>
      <c r="AK80" s="111">
        <f>IF(AND(OR(E80=2,E80=0),G80=2,F80=0),J80,"")</f>
      </c>
      <c r="AL80" s="111">
        <f>IF(AND(OR(E80=2,E80=0),G80=3,F80=0),J80,"")</f>
      </c>
      <c r="AM80" s="111">
        <f>IF(AND(OR(E80=2,E80=0),G80=1,F80=1),J80,"")</f>
      </c>
      <c r="AN80" s="111">
        <f>IF(AND(OR(E80=2,E80=0),G80=2,F80=1),J80,"")</f>
      </c>
      <c r="AO80" s="111">
        <f>IF(AND(OR(E80=2,E80=0),G80=3,F80=1),J80,"")</f>
      </c>
      <c r="AP80" s="111">
        <f>IF(AND(OR(E80=3,E80=0),G80=1,F80=0),J80,"")</f>
      </c>
      <c r="AQ80" s="111">
        <f>IF(AND(OR(E80=3,E80=0),G80=2,F80=0),J80,"")</f>
      </c>
      <c r="AR80" s="111">
        <f>IF(AND(OR(E80=3,E80=0),G80=3,F80=0),J80,"")</f>
      </c>
      <c r="AS80" s="111">
        <f>IF(AND(OR(E80=3,E80=0),G80=1,F80=1),J80,"")</f>
      </c>
      <c r="AT80" s="111">
        <f>IF(AND(OR(E80=3,E80=0),G80=2,F80=1),J80,"")</f>
      </c>
      <c r="AU80" s="111">
        <f>IF(AND(OR(E80=3,E80=0),G80=3,F80=1),J80,"")</f>
      </c>
    </row>
    <row customHeight="true" ht="19" r="81">
      <c r="A81" s="99" t="str">
        <v>バズっちゃお！（椰树椰汁）</v>
      </c>
      <c r="B81" s="99" t="str"/>
      <c r="C81" s="99" t="str"/>
      <c r="D81" s="116">
        <f>持有情况!AU64-ROW()*1e-05</f>
      </c>
      <c r="E81" s="116">
        <v>2</v>
      </c>
      <c r="F81" s="117">
        <v>0</v>
      </c>
      <c r="G81" s="116">
        <v>2</v>
      </c>
      <c r="H81" s="116">
        <v>1</v>
      </c>
      <c r="I81" s="111" t="str">
        <v>椰树椰汁</v>
      </c>
      <c r="J81" s="116">
        <f>IF(路线!C6="计算",INT(45+8*路线!B33+11*路线!B34+10*路线!B31+30+20)-ROW()*1e-05,INT(45+8*路线!B33+11*路线!B34+10*路线!B31+30)-ROW()*1e-05)</f>
      </c>
      <c r="K81" s="1" t="str"/>
      <c r="L81" s="111">
        <f>IF(AND(OR(E81=1,E81=0),G81=1),D81,"")</f>
      </c>
      <c r="M81" s="111">
        <f>IF(AND(OR(E81=2,E81=0),G81=1),D81,"")</f>
      </c>
      <c r="N81" s="111">
        <f>IF(AND(OR(E81=3,E81=0),G81=1),D81,"")</f>
      </c>
      <c r="O81" s="111">
        <f>IF(AND(OR(E81=1,E81=0),G81=2),D81,"")</f>
      </c>
      <c r="P81" s="111">
        <f>IF(AND(OR(E81=2,E81=0),G81=2),D81,"")</f>
      </c>
      <c r="Q81" s="111">
        <f>IF(AND(OR(E81=3,E81=0),G81=2),D81,"")</f>
      </c>
      <c r="R81" s="111">
        <f>IF(AND(OR(E81=1,E81=0),G81=3),D81,"")</f>
      </c>
      <c r="S81" s="111">
        <f>IF(AND(OR(E81=2,E81=0),G81=3),D81,"")</f>
      </c>
      <c r="T81" s="111">
        <f>IF(AND(OR(E81=3,E81=0),G81=3),D81,"")</f>
      </c>
      <c r="U81" s="111">
        <f>IF(AND(OR(E81=1,E81=0),G81=1,F81=1),D81,"")</f>
      </c>
      <c r="V81" s="111">
        <f>IF(AND(OR(E81=1,E81=0),G81=2,F81=1),D81,"")</f>
      </c>
      <c r="W81" s="111">
        <f>IF(AND(OR(E81=1,E81=0),G81=3,F81=1),D81,"")</f>
      </c>
      <c r="X81" s="111">
        <f>IF(AND(OR(E81=2,E81=0),G81=1,F81=1),D81,"")</f>
      </c>
      <c r="Y81" s="111">
        <f>IF(AND(OR(E81=2,E81=0),G81=2,F81=1),D81,"")</f>
      </c>
      <c r="Z81" s="111">
        <f>IF(AND(OR(E81=2,E81=0),G81=3,F81=1),D81,"")</f>
      </c>
      <c r="AA81" s="111">
        <f>IF(AND(OR(E81=3,E81=0),G81=1,F81=1),D81,"")</f>
      </c>
      <c r="AB81" s="111">
        <f>IF(AND(OR(E81=3,E81=0),G81=2,F81=1),D81,"")</f>
      </c>
      <c r="AC81" s="111">
        <f>IF(AND(OR(E81=3,E81=0),G81=3,F81=1),D81,"")</f>
      </c>
      <c r="AD81" s="111">
        <f>IF(AND(OR(E81=1,E81=0),G81=1,F81=0),J81,"")</f>
      </c>
      <c r="AE81" s="111">
        <f>IF(AND(OR(E81=1,E81=0),G81=2,F81=0),J81,"")</f>
      </c>
      <c r="AF81" s="111">
        <f>IF(AND(OR(E81=1,E81=0),G81=3,F81=0),J81,"")</f>
      </c>
      <c r="AG81" s="111">
        <f>IF(AND(OR(E81=1,E81=0),G81=1,F81=1),J81,"")</f>
      </c>
      <c r="AH81" s="111">
        <f>IF(AND(OR(E81=1,E81=0),G81=2,F81=1),J81,"")</f>
      </c>
      <c r="AI81" s="111">
        <f>IF(AND(OR(E81=1,E81=0),G81=3,F81=1),J81,"")</f>
      </c>
      <c r="AJ81" s="111">
        <f>IF(AND(OR(E81=2,E81=0),G81=1,F81=0),J81,"")</f>
      </c>
      <c r="AK81" s="111">
        <f>IF(AND(OR(E81=2,E81=0),G81=2,F81=0),J81,"")</f>
      </c>
      <c r="AL81" s="111">
        <f>IF(AND(OR(E81=2,E81=0),G81=3,F81=0),J81,"")</f>
      </c>
      <c r="AM81" s="111">
        <f>IF(AND(OR(E81=2,E81=0),G81=1,F81=1),J81,"")</f>
      </c>
      <c r="AN81" s="111">
        <f>IF(AND(OR(E81=2,E81=0),G81=2,F81=1),J81,"")</f>
      </c>
      <c r="AO81" s="111">
        <f>IF(AND(OR(E81=2,E81=0),G81=3,F81=1),J81,"")</f>
      </c>
      <c r="AP81" s="111">
        <f>IF(AND(OR(E81=3,E81=0),G81=1,F81=0),J81,"")</f>
      </c>
      <c r="AQ81" s="111">
        <f>IF(AND(OR(E81=3,E81=0),G81=2,F81=0),J81,"")</f>
      </c>
      <c r="AR81" s="111">
        <f>IF(AND(OR(E81=3,E81=0),G81=3,F81=0),J81,"")</f>
      </c>
      <c r="AS81" s="111">
        <f>IF(AND(OR(E81=3,E81=0),G81=1,F81=1),J81,"")</f>
      </c>
      <c r="AT81" s="111">
        <f>IF(AND(OR(E81=3,E81=0),G81=2,F81=1),J81,"")</f>
      </c>
      <c r="AU81" s="111">
        <f>IF(AND(OR(E81=3,E81=0),G81=3,F81=1),J81,"")</f>
      </c>
    </row>
    <row customHeight="true" ht="19" r="82">
      <c r="A82" s="86" t="str">
        <v>仕事のつもりで臨みなさい（学生会）</v>
      </c>
      <c r="B82" s="86" t="str"/>
      <c r="C82" s="86" t="str"/>
      <c r="D82" s="116">
        <f>持有情况!AA4-ROW()*1e-05</f>
      </c>
      <c r="E82" s="117">
        <v>0</v>
      </c>
      <c r="F82" s="117">
        <v>0</v>
      </c>
      <c r="G82" s="116">
        <v>3</v>
      </c>
      <c r="H82" s="116">
        <v>1</v>
      </c>
      <c r="I82" s="111" t="str">
        <v>学生会</v>
      </c>
      <c r="J82" s="116">
        <f>IF(路线!C6="计算",INT(60+2*路线!B24+4*路线!B17+40+20)-ROW()*1e-05,INT(60+2*路线!B24+4*路线!B17+40)-ROW()*1e-05)</f>
      </c>
      <c r="K82" s="1" t="str"/>
      <c r="L82" s="111">
        <f>IF(AND(OR(E82=1,E82=0),G82=1),D82,"")</f>
      </c>
      <c r="M82" s="111">
        <f>IF(AND(OR(E82=2,E82=0),G82=1),D82,"")</f>
      </c>
      <c r="N82" s="111">
        <f>IF(AND(OR(E82=3,E82=0),G82=1),D82,"")</f>
      </c>
      <c r="O82" s="111">
        <f>IF(AND(OR(E82=1,E82=0),G82=2),D82,"")</f>
      </c>
      <c r="P82" s="111">
        <f>IF(AND(OR(E82=2,E82=0),G82=2),D82,"")</f>
      </c>
      <c r="Q82" s="111">
        <f>IF(AND(OR(E82=3,E82=0),G82=2),D82,"")</f>
      </c>
      <c r="R82" s="111">
        <f>IF(AND(OR(E82=1,E82=0),G82=3),D82,"")</f>
      </c>
      <c r="S82" s="111">
        <f>IF(AND(OR(E82=2,E82=0),G82=3),D82,"")</f>
      </c>
      <c r="T82" s="111">
        <f>IF(AND(OR(E82=3,E82=0),G82=3),D82,"")</f>
      </c>
      <c r="U82" s="111">
        <f>IF(AND(OR(E82=1,E82=0),G82=1,F82=1),D82,"")</f>
      </c>
      <c r="V82" s="111">
        <f>IF(AND(OR(E82=1,E82=0),G82=2,F82=1),D82,"")</f>
      </c>
      <c r="W82" s="111">
        <f>IF(AND(OR(E82=1,E82=0),G82=3,F82=1),D82,"")</f>
      </c>
      <c r="X82" s="111">
        <f>IF(AND(OR(E82=2,E82=0),G82=1,F82=1),D82,"")</f>
      </c>
      <c r="Y82" s="111">
        <f>IF(AND(OR(E82=2,E82=0),G82=2,F82=1),D82,"")</f>
      </c>
      <c r="Z82" s="111">
        <f>IF(AND(OR(E82=2,E82=0),G82=3,F82=1),D82,"")</f>
      </c>
      <c r="AA82" s="111">
        <f>IF(AND(OR(E82=3,E82=0),G82=1,F82=1),D82,"")</f>
      </c>
      <c r="AB82" s="111">
        <f>IF(AND(OR(E82=3,E82=0),G82=2,F82=1),D82,"")</f>
      </c>
      <c r="AC82" s="111">
        <f>IF(AND(OR(E82=3,E82=0),G82=3,F82=1),D82,"")</f>
      </c>
      <c r="AD82" s="111">
        <f>IF(AND(OR(E82=1,E82=0),G82=1,F82=0),J82,"")</f>
      </c>
      <c r="AE82" s="111">
        <f>IF(AND(OR(E82=1,E82=0),G82=2,F82=0),J82,"")</f>
      </c>
      <c r="AF82" s="111">
        <f>IF(AND(OR(E82=1,E82=0),G82=3,F82=0),J82,"")</f>
      </c>
      <c r="AG82" s="111">
        <f>IF(AND(OR(E82=1,E82=0),G82=1,F82=1),J82,"")</f>
      </c>
      <c r="AH82" s="111">
        <f>IF(AND(OR(E82=1,E82=0),G82=2,F82=1),J82,"")</f>
      </c>
      <c r="AI82" s="111">
        <f>IF(AND(OR(E82=1,E82=0),G82=3,F82=1),J82,"")</f>
      </c>
      <c r="AJ82" s="111">
        <f>IF(AND(OR(E82=2,E82=0),G82=1,F82=0),J82,"")</f>
      </c>
      <c r="AK82" s="111">
        <f>IF(AND(OR(E82=2,E82=0),G82=2,F82=0),J82,"")</f>
      </c>
      <c r="AL82" s="111">
        <f>IF(AND(OR(E82=2,E82=0),G82=3,F82=0),J82,"")</f>
      </c>
      <c r="AM82" s="111">
        <f>IF(AND(OR(E82=2,E82=0),G82=1,F82=1),J82,"")</f>
      </c>
      <c r="AN82" s="111">
        <f>IF(AND(OR(E82=2,E82=0),G82=2,F82=1),J82,"")</f>
      </c>
      <c r="AO82" s="111">
        <f>IF(AND(OR(E82=2,E82=0),G82=3,F82=1),J82,"")</f>
      </c>
      <c r="AP82" s="111">
        <f>IF(AND(OR(E82=3,E82=0),G82=1,F82=0),J82,"")</f>
      </c>
      <c r="AQ82" s="111">
        <f>IF(AND(OR(E82=3,E82=0),G82=2,F82=0),J82,"")</f>
      </c>
      <c r="AR82" s="111">
        <f>IF(AND(OR(E82=3,E82=0),G82=3,F82=0),J82,"")</f>
      </c>
      <c r="AS82" s="111">
        <f>IF(AND(OR(E82=3,E82=0),G82=1,F82=1),J82,"")</f>
      </c>
      <c r="AT82" s="111">
        <f>IF(AND(OR(E82=3,E82=0),G82=2,F82=1),J82,"")</f>
      </c>
      <c r="AU82" s="111">
        <f>IF(AND(OR(E82=3,E82=0),G82=3,F82=1),J82,"")</f>
      </c>
    </row>
    <row customHeight="true" ht="19" r="83">
      <c r="A83" s="86" t="str">
        <v>SSDのひみつ（悄悄话）</v>
      </c>
      <c r="B83" s="86" t="str"/>
      <c r="C83" s="86" t="str"/>
      <c r="D83" s="116">
        <f>持有情况!BE52-ROW()*1e-05</f>
      </c>
      <c r="E83" s="116">
        <v>2</v>
      </c>
      <c r="F83" s="116">
        <v>1</v>
      </c>
      <c r="G83" s="116">
        <v>3</v>
      </c>
      <c r="H83" s="117">
        <v>0</v>
      </c>
      <c r="I83" s="1" t="str"/>
      <c r="J83" s="116">
        <f>INT(45+11*路线!B34+13*路线!B18+30)-ROW()*1e-05</f>
      </c>
      <c r="K83" s="1" t="str"/>
      <c r="L83" s="111">
        <f>IF(AND(OR(E83=1,E83=0),G83=1),D83,"")</f>
      </c>
      <c r="M83" s="111">
        <f>IF(AND(OR(E83=2,E83=0),G83=1),D83,"")</f>
      </c>
      <c r="N83" s="111">
        <f>IF(AND(OR(E83=3,E83=0),G83=1),D83,"")</f>
      </c>
      <c r="O83" s="111">
        <f>IF(AND(OR(E83=1,E83=0),G83=2),D83,"")</f>
      </c>
      <c r="P83" s="111">
        <f>IF(AND(OR(E83=2,E83=0),G83=2),D83,"")</f>
      </c>
      <c r="Q83" s="111">
        <f>IF(AND(OR(E83=3,E83=0),G83=2),D83,"")</f>
      </c>
      <c r="R83" s="111">
        <f>IF(AND(OR(E83=1,E83=0),G83=3),D83,"")</f>
      </c>
      <c r="S83" s="111">
        <f>IF(AND(OR(E83=2,E83=0),G83=3),D83,"")</f>
      </c>
      <c r="T83" s="111">
        <f>IF(AND(OR(E83=3,E83=0),G83=3),D83,"")</f>
      </c>
      <c r="U83" s="111">
        <f>IF(AND(OR(E83=1,E83=0),G83=1,F83=1),D83,"")</f>
      </c>
      <c r="V83" s="111">
        <f>IF(AND(OR(E83=1,E83=0),G83=2,F83=1),D83,"")</f>
      </c>
      <c r="W83" s="111">
        <f>IF(AND(OR(E83=1,E83=0),G83=3,F83=1),D83,"")</f>
      </c>
      <c r="X83" s="111">
        <f>IF(AND(OR(E83=2,E83=0),G83=1,F83=1),D83,"")</f>
      </c>
      <c r="Y83" s="111">
        <f>IF(AND(OR(E83=2,E83=0),G83=2,F83=1),D83,"")</f>
      </c>
      <c r="Z83" s="111">
        <f>IF(AND(OR(E83=2,E83=0),G83=3,F83=1),D83,"")</f>
      </c>
      <c r="AA83" s="111">
        <f>IF(AND(OR(E83=3,E83=0),G83=1,F83=1),D83,"")</f>
      </c>
      <c r="AB83" s="111">
        <f>IF(AND(OR(E83=3,E83=0),G83=2,F83=1),D83,"")</f>
      </c>
      <c r="AC83" s="111">
        <f>IF(AND(OR(E83=3,E83=0),G83=3,F83=1),D83,"")</f>
      </c>
      <c r="AD83" s="111">
        <f>IF(AND(OR(E83=1,E83=0),G83=1,F83=0),J83,"")</f>
      </c>
      <c r="AE83" s="111">
        <f>IF(AND(OR(E83=1,E83=0),G83=2,F83=0),J83,"")</f>
      </c>
      <c r="AF83" s="111">
        <f>IF(AND(OR(E83=1,E83=0),G83=3,F83=0),J83,"")</f>
      </c>
      <c r="AG83" s="111">
        <f>IF(AND(OR(E83=1,E83=0),G83=1,F83=1),J83,"")</f>
      </c>
      <c r="AH83" s="111">
        <f>IF(AND(OR(E83=1,E83=0),G83=2,F83=1),J83,"")</f>
      </c>
      <c r="AI83" s="111">
        <f>IF(AND(OR(E83=1,E83=0),G83=3,F83=1),J83,"")</f>
      </c>
      <c r="AJ83" s="111">
        <f>IF(AND(OR(E83=2,E83=0),G83=1,F83=0),J83,"")</f>
      </c>
      <c r="AK83" s="111">
        <f>IF(AND(OR(E83=2,E83=0),G83=2,F83=0),J83,"")</f>
      </c>
      <c r="AL83" s="111">
        <f>IF(AND(OR(E83=2,E83=0),G83=3,F83=0),J83,"")</f>
      </c>
      <c r="AM83" s="111">
        <f>IF(AND(OR(E83=2,E83=0),G83=1,F83=1),J83,"")</f>
      </c>
      <c r="AN83" s="111">
        <f>IF(AND(OR(E83=2,E83=0),G83=2,F83=1),J83,"")</f>
      </c>
      <c r="AO83" s="111">
        <f>IF(AND(OR(E83=2,E83=0),G83=3,F83=1),J83,"")</f>
      </c>
      <c r="AP83" s="111">
        <f>IF(AND(OR(E83=3,E83=0),G83=1,F83=0),J83,"")</f>
      </c>
      <c r="AQ83" s="111">
        <f>IF(AND(OR(E83=3,E83=0),G83=2,F83=0),J83,"")</f>
      </c>
      <c r="AR83" s="111">
        <f>IF(AND(OR(E83=3,E83=0),G83=3,F83=0),J83,"")</f>
      </c>
      <c r="AS83" s="111">
        <f>IF(AND(OR(E83=3,E83=0),G83=1,F83=1),J83,"")</f>
      </c>
      <c r="AT83" s="111">
        <f>IF(AND(OR(E83=3,E83=0),G83=2,F83=1),J83,"")</f>
      </c>
      <c r="AU83" s="111">
        <f>IF(AND(OR(E83=3,E83=0),G83=3,F83=1),J83,"")</f>
      </c>
    </row>
    <row customHeight="true" ht="19" r="84">
      <c r="A84" s="75" t="str">
        <v>イヤホンはんぶんこ</v>
      </c>
      <c r="B84" s="75" t="str"/>
      <c r="C84" s="75" t="str"/>
      <c r="D84" s="116">
        <f>持有情况!AK34-ROW()*1e-05</f>
      </c>
      <c r="E84" s="116">
        <v>2</v>
      </c>
      <c r="F84" s="117">
        <v>0</v>
      </c>
      <c r="G84" s="116">
        <v>1</v>
      </c>
      <c r="H84" s="116">
        <v>1</v>
      </c>
      <c r="I84" s="1" t="str"/>
      <c r="J84" s="116">
        <f>IF(路线!C6="计算",INT(45+10*路线!B31+17*路线!B32+30+20)-ROW()*1e-05,INT(45+10*路线!B31+17*路线!B32+30)-ROW()*1e-05)</f>
      </c>
      <c r="K84" s="1" t="str"/>
      <c r="L84" s="111">
        <f>IF(AND(OR(E84=1,E84=0),G84=1),D84,"")</f>
      </c>
      <c r="M84" s="111">
        <f>IF(AND(OR(E84=2,E84=0),G84=1),D84,"")</f>
      </c>
      <c r="N84" s="111">
        <f>IF(AND(OR(E84=3,E84=0),G84=1),D84,"")</f>
      </c>
      <c r="O84" s="111">
        <f>IF(AND(OR(E84=1,E84=0),G84=2),D84,"")</f>
      </c>
      <c r="P84" s="111">
        <f>IF(AND(OR(E84=2,E84=0),G84=2),D84,"")</f>
      </c>
      <c r="Q84" s="111">
        <f>IF(AND(OR(E84=3,E84=0),G84=2),D84,"")</f>
      </c>
      <c r="R84" s="111">
        <f>IF(AND(OR(E84=1,E84=0),G84=3),D84,"")</f>
      </c>
      <c r="S84" s="111">
        <f>IF(AND(OR(E84=2,E84=0),G84=3),D84,"")</f>
      </c>
      <c r="T84" s="111">
        <f>IF(AND(OR(E84=3,E84=0),G84=3),D84,"")</f>
      </c>
      <c r="U84" s="111">
        <f>IF(AND(OR(E84=1,E84=0),G84=1,F84=1),D84,"")</f>
      </c>
      <c r="V84" s="111">
        <f>IF(AND(OR(E84=1,E84=0),G84=2,F84=1),D84,"")</f>
      </c>
      <c r="W84" s="111">
        <f>IF(AND(OR(E84=1,E84=0),G84=3,F84=1),D84,"")</f>
      </c>
      <c r="X84" s="111">
        <f>IF(AND(OR(E84=2,E84=0),G84=1,F84=1),D84,"")</f>
      </c>
      <c r="Y84" s="111">
        <f>IF(AND(OR(E84=2,E84=0),G84=2,F84=1),D84,"")</f>
      </c>
      <c r="Z84" s="111">
        <f>IF(AND(OR(E84=2,E84=0),G84=3,F84=1),D84,"")</f>
      </c>
      <c r="AA84" s="111">
        <f>IF(AND(OR(E84=3,E84=0),G84=1,F84=1),D84,"")</f>
      </c>
      <c r="AB84" s="111">
        <f>IF(AND(OR(E84=3,E84=0),G84=2,F84=1),D84,"")</f>
      </c>
      <c r="AC84" s="111">
        <f>IF(AND(OR(E84=3,E84=0),G84=3,F84=1),D84,"")</f>
      </c>
      <c r="AD84" s="111">
        <f>IF(AND(OR(E84=1,E84=0),G84=1,F84=0),J84,"")</f>
      </c>
      <c r="AE84" s="111">
        <f>IF(AND(OR(E84=1,E84=0),G84=2,F84=0),J84,"")</f>
      </c>
      <c r="AF84" s="111">
        <f>IF(AND(OR(E84=1,E84=0),G84=3,F84=0),J84,"")</f>
      </c>
      <c r="AG84" s="111">
        <f>IF(AND(OR(E84=1,E84=0),G84=1,F84=1),J84,"")</f>
      </c>
      <c r="AH84" s="111">
        <f>IF(AND(OR(E84=1,E84=0),G84=2,F84=1),J84,"")</f>
      </c>
      <c r="AI84" s="111">
        <f>IF(AND(OR(E84=1,E84=0),G84=3,F84=1),J84,"")</f>
      </c>
      <c r="AJ84" s="111">
        <f>IF(AND(OR(E84=2,E84=0),G84=1,F84=0),J84,"")</f>
      </c>
      <c r="AK84" s="111">
        <f>IF(AND(OR(E84=2,E84=0),G84=2,F84=0),J84,"")</f>
      </c>
      <c r="AL84" s="111">
        <f>IF(AND(OR(E84=2,E84=0),G84=3,F84=0),J84,"")</f>
      </c>
      <c r="AM84" s="111">
        <f>IF(AND(OR(E84=2,E84=0),G84=1,F84=1),J84,"")</f>
      </c>
      <c r="AN84" s="111">
        <f>IF(AND(OR(E84=2,E84=0),G84=2,F84=1),J84,"")</f>
      </c>
      <c r="AO84" s="111">
        <f>IF(AND(OR(E84=2,E84=0),G84=3,F84=1),J84,"")</f>
      </c>
      <c r="AP84" s="111">
        <f>IF(AND(OR(E84=3,E84=0),G84=1,F84=0),J84,"")</f>
      </c>
      <c r="AQ84" s="111">
        <f>IF(AND(OR(E84=3,E84=0),G84=2,F84=0),J84,"")</f>
      </c>
      <c r="AR84" s="111">
        <f>IF(AND(OR(E84=3,E84=0),G84=3,F84=0),J84,"")</f>
      </c>
      <c r="AS84" s="111">
        <f>IF(AND(OR(E84=3,E84=0),G84=1,F84=1),J84,"")</f>
      </c>
      <c r="AT84" s="111">
        <f>IF(AND(OR(E84=3,E84=0),G84=2,F84=1),J84,"")</f>
      </c>
      <c r="AU84" s="111">
        <f>IF(AND(OR(E84=3,E84=0),G84=3,F84=1),J84,"")</f>
      </c>
    </row>
    <row customHeight="true" ht="19" r="85">
      <c r="A85" s="86" t="str">
        <v>まだまだのばしてー（黄老师）</v>
      </c>
      <c r="B85" s="86" t="str"/>
      <c r="C85" s="86" t="str"/>
      <c r="D85" s="116">
        <f>持有情况!BE64-ROW()*1e-05</f>
      </c>
      <c r="E85" s="117">
        <v>0</v>
      </c>
      <c r="F85" s="116">
        <v>1</v>
      </c>
      <c r="G85" s="116">
        <v>3</v>
      </c>
      <c r="H85" s="117">
        <v>0</v>
      </c>
      <c r="I85" s="1" t="str"/>
      <c r="J85" s="116">
        <f>INT(45+10*路线!B31+30)-ROW()*1e-05</f>
      </c>
      <c r="K85" s="1" t="str"/>
      <c r="L85" s="111">
        <f>IF(AND(OR(E85=1,E85=0),G85=1),D85,"")</f>
      </c>
      <c r="M85" s="111">
        <f>IF(AND(OR(E85=2,E85=0),G85=1),D85,"")</f>
      </c>
      <c r="N85" s="111">
        <f>IF(AND(OR(E85=3,E85=0),G85=1),D85,"")</f>
      </c>
      <c r="O85" s="111">
        <f>IF(AND(OR(E85=1,E85=0),G85=2),D85,"")</f>
      </c>
      <c r="P85" s="111">
        <f>IF(AND(OR(E85=2,E85=0),G85=2),D85,"")</f>
      </c>
      <c r="Q85" s="111">
        <f>IF(AND(OR(E85=3,E85=0),G85=2),D85,"")</f>
      </c>
      <c r="R85" s="111">
        <f>IF(AND(OR(E85=1,E85=0),G85=3),D85,"")</f>
      </c>
      <c r="S85" s="111">
        <f>IF(AND(OR(E85=2,E85=0),G85=3),D85,"")</f>
      </c>
      <c r="T85" s="111">
        <f>IF(AND(OR(E85=3,E85=0),G85=3),D85,"")</f>
      </c>
      <c r="U85" s="111">
        <f>IF(AND(OR(E85=1,E85=0),G85=1,F85=1),D85,"")</f>
      </c>
      <c r="V85" s="111">
        <f>IF(AND(OR(E85=1,E85=0),G85=2,F85=1),D85,"")</f>
      </c>
      <c r="W85" s="111">
        <f>IF(AND(OR(E85=1,E85=0),G85=3,F85=1),D85,"")</f>
      </c>
      <c r="X85" s="111">
        <f>IF(AND(OR(E85=2,E85=0),G85=1,F85=1),D85,"")</f>
      </c>
      <c r="Y85" s="111">
        <f>IF(AND(OR(E85=2,E85=0),G85=2,F85=1),D85,"")</f>
      </c>
      <c r="Z85" s="111">
        <f>IF(AND(OR(E85=2,E85=0),G85=3,F85=1),D85,"")</f>
      </c>
      <c r="AA85" s="111">
        <f>IF(AND(OR(E85=3,E85=0),G85=1,F85=1),D85,"")</f>
      </c>
      <c r="AB85" s="111">
        <f>IF(AND(OR(E85=3,E85=0),G85=2,F85=1),D85,"")</f>
      </c>
      <c r="AC85" s="111">
        <f>IF(AND(OR(E85=3,E85=0),G85=3,F85=1),D85,"")</f>
      </c>
      <c r="AD85" s="111">
        <f>IF(AND(OR(E85=1,E85=0),G85=1,F85=0),J85,"")</f>
      </c>
      <c r="AE85" s="111">
        <f>IF(AND(OR(E85=1,E85=0),G85=2,F85=0),J85,"")</f>
      </c>
      <c r="AF85" s="111">
        <f>IF(AND(OR(E85=1,E85=0),G85=3,F85=0),J85,"")</f>
      </c>
      <c r="AG85" s="111">
        <f>IF(AND(OR(E85=1,E85=0),G85=1,F85=1),J85,"")</f>
      </c>
      <c r="AH85" s="111">
        <f>IF(AND(OR(E85=1,E85=0),G85=2,F85=1),J85,"")</f>
      </c>
      <c r="AI85" s="111">
        <f>IF(AND(OR(E85=1,E85=0),G85=3,F85=1),J85,"")</f>
      </c>
      <c r="AJ85" s="111">
        <f>IF(AND(OR(E85=2,E85=0),G85=1,F85=0),J85,"")</f>
      </c>
      <c r="AK85" s="111">
        <f>IF(AND(OR(E85=2,E85=0),G85=2,F85=0),J85,"")</f>
      </c>
      <c r="AL85" s="111">
        <f>IF(AND(OR(E85=2,E85=0),G85=3,F85=0),J85,"")</f>
      </c>
      <c r="AM85" s="111">
        <f>IF(AND(OR(E85=2,E85=0),G85=1,F85=1),J85,"")</f>
      </c>
      <c r="AN85" s="111">
        <f>IF(AND(OR(E85=2,E85=0),G85=2,F85=1),J85,"")</f>
      </c>
      <c r="AO85" s="111">
        <f>IF(AND(OR(E85=2,E85=0),G85=3,F85=1),J85,"")</f>
      </c>
      <c r="AP85" s="111">
        <f>IF(AND(OR(E85=3,E85=0),G85=1,F85=0),J85,"")</f>
      </c>
      <c r="AQ85" s="111">
        <f>IF(AND(OR(E85=3,E85=0),G85=2,F85=0),J85,"")</f>
      </c>
      <c r="AR85" s="111">
        <f>IF(AND(OR(E85=3,E85=0),G85=3,F85=0),J85,"")</f>
      </c>
      <c r="AS85" s="111">
        <f>IF(AND(OR(E85=3,E85=0),G85=1,F85=1),J85,"")</f>
      </c>
      <c r="AT85" s="111">
        <f>IF(AND(OR(E85=3,E85=0),G85=2,F85=1),J85,"")</f>
      </c>
      <c r="AU85" s="111">
        <f>IF(AND(OR(E85=3,E85=0),G85=3,F85=1),J85,"")</f>
      </c>
    </row>
    <row customHeight="true" ht="19" r="86">
      <c r="A86" s="86" t="str">
        <v>あなたにも作ってあげる！（黄睡）</v>
      </c>
      <c r="B86" s="86" t="str"/>
      <c r="C86" s="86" t="str"/>
      <c r="D86" s="116">
        <f>持有情况!AA34-ROW()*1e-05</f>
      </c>
      <c r="E86" s="117">
        <v>0</v>
      </c>
      <c r="F86" s="117">
        <v>0</v>
      </c>
      <c r="G86" s="116">
        <v>3</v>
      </c>
      <c r="H86" s="116">
        <v>1</v>
      </c>
      <c r="I86" s="111" t="str">
        <v>黄睡</v>
      </c>
      <c r="J86" s="116">
        <f>INT(60+6*路线!B17+22*路线!B32+40)-ROW()*1e-05</f>
      </c>
      <c r="K86" s="1" t="str"/>
      <c r="L86" s="111">
        <f>IF(AND(OR(E86=1,E86=0),G86=1),D86,"")</f>
      </c>
      <c r="M86" s="111">
        <f>IF(AND(OR(E86=2,E86=0),G86=1),D86,"")</f>
      </c>
      <c r="N86" s="111">
        <f>IF(AND(OR(E86=3,E86=0),G86=1),D86,"")</f>
      </c>
      <c r="O86" s="111">
        <f>IF(AND(OR(E86=1,E86=0),G86=2),D86,"")</f>
      </c>
      <c r="P86" s="111">
        <f>IF(AND(OR(E86=2,E86=0),G86=2),D86,"")</f>
      </c>
      <c r="Q86" s="111">
        <f>IF(AND(OR(E86=3,E86=0),G86=2),D86,"")</f>
      </c>
      <c r="R86" s="111">
        <f>IF(AND(OR(E86=1,E86=0),G86=3),D86,"")</f>
      </c>
      <c r="S86" s="111">
        <f>IF(AND(OR(E86=2,E86=0),G86=3),D86,"")</f>
      </c>
      <c r="T86" s="111">
        <f>IF(AND(OR(E86=3,E86=0),G86=3),D86,"")</f>
      </c>
      <c r="U86" s="111">
        <f>IF(AND(OR(E86=1,E86=0),G86=1,F86=1),D86,"")</f>
      </c>
      <c r="V86" s="111">
        <f>IF(AND(OR(E86=1,E86=0),G86=2,F86=1),D86,"")</f>
      </c>
      <c r="W86" s="111">
        <f>IF(AND(OR(E86=1,E86=0),G86=3,F86=1),D86,"")</f>
      </c>
      <c r="X86" s="111">
        <f>IF(AND(OR(E86=2,E86=0),G86=1,F86=1),D86,"")</f>
      </c>
      <c r="Y86" s="111">
        <f>IF(AND(OR(E86=2,E86=0),G86=2,F86=1),D86,"")</f>
      </c>
      <c r="Z86" s="111">
        <f>IF(AND(OR(E86=2,E86=0),G86=3,F86=1),D86,"")</f>
      </c>
      <c r="AA86" s="111">
        <f>IF(AND(OR(E86=3,E86=0),G86=1,F86=1),D86,"")</f>
      </c>
      <c r="AB86" s="111">
        <f>IF(AND(OR(E86=3,E86=0),G86=2,F86=1),D86,"")</f>
      </c>
      <c r="AC86" s="111">
        <f>IF(AND(OR(E86=3,E86=0),G86=3,F86=1),D86,"")</f>
      </c>
      <c r="AD86" s="111">
        <f>IF(AND(OR(E86=1,E86=0),G86=1,F86=0),J86,"")</f>
      </c>
      <c r="AE86" s="111">
        <f>IF(AND(OR(E86=1,E86=0),G86=2,F86=0),J86,"")</f>
      </c>
      <c r="AF86" s="111">
        <f>IF(AND(OR(E86=1,E86=0),G86=3,F86=0),J86,"")</f>
      </c>
      <c r="AG86" s="111">
        <f>IF(AND(OR(E86=1,E86=0),G86=1,F86=1),J86,"")</f>
      </c>
      <c r="AH86" s="111">
        <f>IF(AND(OR(E86=1,E86=0),G86=2,F86=1),J86,"")</f>
      </c>
      <c r="AI86" s="111">
        <f>IF(AND(OR(E86=1,E86=0),G86=3,F86=1),J86,"")</f>
      </c>
      <c r="AJ86" s="111">
        <f>IF(AND(OR(E86=2,E86=0),G86=1,F86=0),J86,"")</f>
      </c>
      <c r="AK86" s="111">
        <f>IF(AND(OR(E86=2,E86=0),G86=2,F86=0),J86,"")</f>
      </c>
      <c r="AL86" s="111">
        <f>IF(AND(OR(E86=2,E86=0),G86=3,F86=0),J86,"")</f>
      </c>
      <c r="AM86" s="111">
        <f>IF(AND(OR(E86=2,E86=0),G86=1,F86=1),J86,"")</f>
      </c>
      <c r="AN86" s="111">
        <f>IF(AND(OR(E86=2,E86=0),G86=2,F86=1),J86,"")</f>
      </c>
      <c r="AO86" s="111">
        <f>IF(AND(OR(E86=2,E86=0),G86=3,F86=1),J86,"")</f>
      </c>
      <c r="AP86" s="111">
        <f>IF(AND(OR(E86=3,E86=0),G86=1,F86=0),J86,"")</f>
      </c>
      <c r="AQ86" s="111">
        <f>IF(AND(OR(E86=3,E86=0),G86=2,F86=0),J86,"")</f>
      </c>
      <c r="AR86" s="111">
        <f>IF(AND(OR(E86=3,E86=0),G86=3,F86=0),J86,"")</f>
      </c>
      <c r="AS86" s="111">
        <f>IF(AND(OR(E86=3,E86=0),G86=1,F86=1),J86,"")</f>
      </c>
      <c r="AT86" s="111">
        <f>IF(AND(OR(E86=3,E86=0),G86=2,F86=1),J86,"")</f>
      </c>
      <c r="AU86" s="111">
        <f>IF(AND(OR(E86=3,E86=0),G86=3,F86=1),J86,"")</f>
      </c>
    </row>
    <row customHeight="true" ht="19" r="87">
      <c r="A87" s="99" t="str">
        <v>どりゃぎゃ（矿泉水）</v>
      </c>
      <c r="B87" s="99" t="str"/>
      <c r="C87" s="99" t="str"/>
      <c r="D87" s="116">
        <f>IF(路线!B4="计算",持有情况!AW35,持有情况!AU34)-ROW()*1e-05</f>
      </c>
      <c r="E87" s="116">
        <v>1</v>
      </c>
      <c r="F87" s="116">
        <v>1</v>
      </c>
      <c r="G87" s="116">
        <v>2</v>
      </c>
      <c r="H87" s="117">
        <v>0</v>
      </c>
      <c r="I87" s="1" t="str"/>
      <c r="J87" s="116">
        <f>IF(路线!B4="计算",INT(45+11*路线!B34+4*路线!B17+30+持有情况!AW33),INT(45+11*路线!B34+4*路线!B17+30))-ROW()*1e-05</f>
      </c>
      <c r="K87" s="1" t="str"/>
      <c r="L87" s="111">
        <f>IF(AND(OR(E87=1,E87=0),G87=1),D87,"")</f>
      </c>
      <c r="M87" s="111">
        <f>IF(AND(OR(E87=2,E87=0),G87=1),D87,"")</f>
      </c>
      <c r="N87" s="111">
        <f>IF(AND(OR(E87=3,E87=0),G87=1),D87,"")</f>
      </c>
      <c r="O87" s="111">
        <f>IF(AND(OR(E87=1,E87=0),G87=2),D87,"")</f>
      </c>
      <c r="P87" s="111">
        <f>IF(AND(OR(E87=2,E87=0),G87=2),D87,"")</f>
      </c>
      <c r="Q87" s="111">
        <f>IF(AND(OR(E87=3,E87=0),G87=2),D87,"")</f>
      </c>
      <c r="R87" s="111">
        <f>IF(AND(OR(E87=1,E87=0),G87=3),D87,"")</f>
      </c>
      <c r="S87" s="111">
        <f>IF(AND(OR(E87=2,E87=0),G87=3),D87,"")</f>
      </c>
      <c r="T87" s="111">
        <f>IF(AND(OR(E87=3,E87=0),G87=3),D87,"")</f>
      </c>
      <c r="U87" s="111">
        <f>IF(AND(OR(E87=1,E87=0),G87=1,F87=1),D87,"")</f>
      </c>
      <c r="V87" s="111">
        <f>IF(AND(OR(E87=1,E87=0),G87=2,F87=1),D87,"")</f>
      </c>
      <c r="W87" s="111">
        <f>IF(AND(OR(E87=1,E87=0),G87=3,F87=1),D87,"")</f>
      </c>
      <c r="X87" s="111">
        <f>IF(AND(OR(E87=2,E87=0),G87=1,F87=1),D87,"")</f>
      </c>
      <c r="Y87" s="111">
        <f>IF(AND(OR(E87=2,E87=0),G87=2,F87=1),D87,"")</f>
      </c>
      <c r="Z87" s="111">
        <f>IF(AND(OR(E87=2,E87=0),G87=3,F87=1),D87,"")</f>
      </c>
      <c r="AA87" s="111">
        <f>IF(AND(OR(E87=3,E87=0),G87=1,F87=1),D87,"")</f>
      </c>
      <c r="AB87" s="111">
        <f>IF(AND(OR(E87=3,E87=0),G87=2,F87=1),D87,"")</f>
      </c>
      <c r="AC87" s="111">
        <f>IF(AND(OR(E87=3,E87=0),G87=3,F87=1),D87,"")</f>
      </c>
      <c r="AD87" s="111">
        <f>IF(AND(OR(E87=1,E87=0),G87=1,F87=0),J87,"")</f>
      </c>
      <c r="AE87" s="111">
        <f>IF(AND(OR(E87=1,E87=0),G87=2,F87=0),J87,"")</f>
      </c>
      <c r="AF87" s="111">
        <f>IF(AND(OR(E87=1,E87=0),G87=3,F87=0),J87,"")</f>
      </c>
      <c r="AG87" s="111">
        <f>IF(AND(OR(E87=1,E87=0),G87=1,F87=1),J87,"")</f>
      </c>
      <c r="AH87" s="111">
        <f>IF(AND(OR(E87=1,E87=0),G87=2,F87=1),J87,"")</f>
      </c>
      <c r="AI87" s="111">
        <f>IF(AND(OR(E87=1,E87=0),G87=3,F87=1),J87,"")</f>
      </c>
      <c r="AJ87" s="111">
        <f>IF(AND(OR(E87=2,E87=0),G87=1,F87=0),J87,"")</f>
      </c>
      <c r="AK87" s="111">
        <f>IF(AND(OR(E87=2,E87=0),G87=2,F87=0),J87,"")</f>
      </c>
      <c r="AL87" s="111">
        <f>IF(AND(OR(E87=2,E87=0),G87=3,F87=0),J87,"")</f>
      </c>
      <c r="AM87" s="111">
        <f>IF(AND(OR(E87=2,E87=0),G87=1,F87=1),J87,"")</f>
      </c>
      <c r="AN87" s="111">
        <f>IF(AND(OR(E87=2,E87=0),G87=2,F87=1),J87,"")</f>
      </c>
      <c r="AO87" s="111">
        <f>IF(AND(OR(E87=2,E87=0),G87=3,F87=1),J87,"")</f>
      </c>
      <c r="AP87" s="111">
        <f>IF(AND(OR(E87=3,E87=0),G87=1,F87=0),J87,"")</f>
      </c>
      <c r="AQ87" s="111">
        <f>IF(AND(OR(E87=3,E87=0),G87=2,F87=0),J87,"")</f>
      </c>
      <c r="AR87" s="111">
        <f>IF(AND(OR(E87=3,E87=0),G87=3,F87=0),J87,"")</f>
      </c>
      <c r="AS87" s="111">
        <f>IF(AND(OR(E87=3,E87=0),G87=1,F87=1),J87,"")</f>
      </c>
      <c r="AT87" s="111">
        <f>IF(AND(OR(E87=3,E87=0),G87=2,F87=1),J87,"")</f>
      </c>
      <c r="AU87" s="111">
        <f>IF(AND(OR(E87=3,E87=0),G87=3,F87=1),J87,"")</f>
      </c>
    </row>
    <row customHeight="true" ht="19" r="88">
      <c r="A88" s="75" t="str">
        <v>すっかり秋色ですわね！（秋色）</v>
      </c>
      <c r="B88" s="75" t="str"/>
      <c r="C88" s="75" t="str"/>
      <c r="D88" s="116">
        <f>持有情况!G70-ROW()*1e-05</f>
      </c>
      <c r="E88" s="116">
        <v>1</v>
      </c>
      <c r="F88" s="116">
        <v>1</v>
      </c>
      <c r="G88" s="116">
        <v>1</v>
      </c>
      <c r="H88" s="117">
        <v>0</v>
      </c>
      <c r="I88" s="1" t="str"/>
      <c r="J88" s="116">
        <f>INT(60+4*路线!B25+17*路线!B34+40)-ROW()*1e-05</f>
      </c>
      <c r="K88" s="1" t="str"/>
      <c r="L88" s="111">
        <f>IF(AND(OR(E88=1,E88=0),G88=1),D88,"")</f>
      </c>
      <c r="M88" s="111">
        <f>IF(AND(OR(E88=2,E88=0),G88=1),D88,"")</f>
      </c>
      <c r="N88" s="111">
        <f>IF(AND(OR(E88=3,E88=0),G88=1),D88,"")</f>
      </c>
      <c r="O88" s="111">
        <f>IF(AND(OR(E88=1,E88=0),G88=2),D88,"")</f>
      </c>
      <c r="P88" s="111">
        <f>IF(AND(OR(E88=2,E88=0),G88=2),D88,"")</f>
      </c>
      <c r="Q88" s="111">
        <f>IF(AND(OR(E88=3,E88=0),G88=2),D88,"")</f>
      </c>
      <c r="R88" s="111">
        <f>IF(AND(OR(E88=1,E88=0),G88=3),D88,"")</f>
      </c>
      <c r="S88" s="111">
        <f>IF(AND(OR(E88=2,E88=0),G88=3),D88,"")</f>
      </c>
      <c r="T88" s="111">
        <f>IF(AND(OR(E88=3,E88=0),G88=3),D88,"")</f>
      </c>
      <c r="U88" s="111">
        <f>IF(AND(OR(E88=1,E88=0),G88=1,F88=1),D88,"")</f>
      </c>
      <c r="V88" s="111">
        <f>IF(AND(OR(E88=1,E88=0),G88=2,F88=1),D88,"")</f>
      </c>
      <c r="W88" s="111">
        <f>IF(AND(OR(E88=1,E88=0),G88=3,F88=1),D88,"")</f>
      </c>
      <c r="X88" s="111">
        <f>IF(AND(OR(E88=2,E88=0),G88=1,F88=1),D88,"")</f>
      </c>
      <c r="Y88" s="111">
        <f>IF(AND(OR(E88=2,E88=0),G88=2,F88=1),D88,"")</f>
      </c>
      <c r="Z88" s="111">
        <f>IF(AND(OR(E88=2,E88=0),G88=3,F88=1),D88,"")</f>
      </c>
      <c r="AA88" s="111">
        <f>IF(AND(OR(E88=3,E88=0),G88=1,F88=1),D88,"")</f>
      </c>
      <c r="AB88" s="111">
        <f>IF(AND(OR(E88=3,E88=0),G88=2,F88=1),D88,"")</f>
      </c>
      <c r="AC88" s="111">
        <f>IF(AND(OR(E88=3,E88=0),G88=3,F88=1),D88,"")</f>
      </c>
      <c r="AD88" s="111">
        <f>IF(AND(OR(E88=1,E88=0),G88=1,F88=0),J88,"")</f>
      </c>
      <c r="AE88" s="111">
        <f>IF(AND(OR(E88=1,E88=0),G88=2,F88=0),J88,"")</f>
      </c>
      <c r="AF88" s="111">
        <f>IF(AND(OR(E88=1,E88=0),G88=3,F88=0),J88,"")</f>
      </c>
      <c r="AG88" s="111">
        <f>IF(AND(OR(E88=1,E88=0),G88=1,F88=1),J88,"")</f>
      </c>
      <c r="AH88" s="111">
        <f>IF(AND(OR(E88=1,E88=0),G88=2,F88=1),J88,"")</f>
      </c>
      <c r="AI88" s="111">
        <f>IF(AND(OR(E88=1,E88=0),G88=3,F88=1),J88,"")</f>
      </c>
      <c r="AJ88" s="111">
        <f>IF(AND(OR(E88=2,E88=0),G88=1,F88=0),J88,"")</f>
      </c>
      <c r="AK88" s="111">
        <f>IF(AND(OR(E88=2,E88=0),G88=2,F88=0),J88,"")</f>
      </c>
      <c r="AL88" s="111">
        <f>IF(AND(OR(E88=2,E88=0),G88=3,F88=0),J88,"")</f>
      </c>
      <c r="AM88" s="111">
        <f>IF(AND(OR(E88=2,E88=0),G88=1,F88=1),J88,"")</f>
      </c>
      <c r="AN88" s="111">
        <f>IF(AND(OR(E88=2,E88=0),G88=2,F88=1),J88,"")</f>
      </c>
      <c r="AO88" s="111">
        <f>IF(AND(OR(E88=2,E88=0),G88=3,F88=1),J88,"")</f>
      </c>
      <c r="AP88" s="111">
        <f>IF(AND(OR(E88=3,E88=0),G88=1,F88=0),J88,"")</f>
      </c>
      <c r="AQ88" s="111">
        <f>IF(AND(OR(E88=3,E88=0),G88=2,F88=0),J88,"")</f>
      </c>
      <c r="AR88" s="111">
        <f>IF(AND(OR(E88=3,E88=0),G88=3,F88=0),J88,"")</f>
      </c>
      <c r="AS88" s="111">
        <f>IF(AND(OR(E88=3,E88=0),G88=1,F88=1),J88,"")</f>
      </c>
      <c r="AT88" s="111">
        <f>IF(AND(OR(E88=3,E88=0),G88=2,F88=1),J88,"")</f>
      </c>
      <c r="AU88" s="111">
        <f>IF(AND(OR(E88=3,E88=0),G88=3,F88=1),J88,"")</f>
      </c>
    </row>
    <row customHeight="true" ht="19" r="89">
      <c r="A89" s="99" t="str">
        <v>プロデュースって大変ね（大变卡）</v>
      </c>
      <c r="B89" s="99" t="str"/>
      <c r="C89" s="99" t="str"/>
      <c r="D89" s="116">
        <f>持有情况!Q70-ROW()*1e-05</f>
      </c>
      <c r="E89" s="116">
        <v>3</v>
      </c>
      <c r="F89" s="116">
        <v>1</v>
      </c>
      <c r="G89" s="116">
        <v>2</v>
      </c>
      <c r="H89" s="116">
        <v>1</v>
      </c>
      <c r="I89" s="111" t="str">
        <v>大变卡</v>
      </c>
      <c r="J89" s="116">
        <f>INT(60+17+40)-ROW()*1e-05</f>
      </c>
      <c r="K89" s="1" t="str"/>
      <c r="L89" s="111">
        <f>IF(AND(OR(E89=1,E89=0),G89=1),D89,"")</f>
      </c>
      <c r="M89" s="111">
        <f>IF(AND(OR(E89=2,E89=0),G89=1),D89,"")</f>
      </c>
      <c r="N89" s="111">
        <f>IF(AND(OR(E89=3,E89=0),G89=1),D89,"")</f>
      </c>
      <c r="O89" s="111">
        <f>IF(AND(OR(E89=1,E89=0),G89=2),D89,"")</f>
      </c>
      <c r="P89" s="111">
        <f>IF(AND(OR(E89=2,E89=0),G89=2),D89,"")</f>
      </c>
      <c r="Q89" s="111">
        <f>IF(AND(OR(E89=3,E89=0),G89=2),D89,"")</f>
      </c>
      <c r="R89" s="111">
        <f>IF(AND(OR(E89=1,E89=0),G89=3),D89,"")</f>
      </c>
      <c r="S89" s="111">
        <f>IF(AND(OR(E89=2,E89=0),G89=3),D89,"")</f>
      </c>
      <c r="T89" s="111">
        <f>IF(AND(OR(E89=3,E89=0),G89=3),D89,"")</f>
      </c>
      <c r="U89" s="111">
        <f>IF(AND(OR(E89=1,E89=0),G89=1,F89=1),D89,"")</f>
      </c>
      <c r="V89" s="111">
        <f>IF(AND(OR(E89=1,E89=0),G89=2,F89=1),D89,"")</f>
      </c>
      <c r="W89" s="111">
        <f>IF(AND(OR(E89=1,E89=0),G89=3,F89=1),D89,"")</f>
      </c>
      <c r="X89" s="111">
        <f>IF(AND(OR(E89=2,E89=0),G89=1,F89=1),D89,"")</f>
      </c>
      <c r="Y89" s="111">
        <f>IF(AND(OR(E89=2,E89=0),G89=2,F89=1),D89,"")</f>
      </c>
      <c r="Z89" s="111">
        <f>IF(AND(OR(E89=2,E89=0),G89=3,F89=1),D89,"")</f>
      </c>
      <c r="AA89" s="111">
        <f>IF(AND(OR(E89=3,E89=0),G89=1,F89=1),D89,"")</f>
      </c>
      <c r="AB89" s="111">
        <f>IF(AND(OR(E89=3,E89=0),G89=2,F89=1),D89,"")</f>
      </c>
      <c r="AC89" s="111">
        <f>IF(AND(OR(E89=3,E89=0),G89=3,F89=1),D89,"")</f>
      </c>
      <c r="AD89" s="111">
        <f>IF(AND(OR(E89=1,E89=0),G89=1,F89=0),J89,"")</f>
      </c>
      <c r="AE89" s="111">
        <f>IF(AND(OR(E89=1,E89=0),G89=2,F89=0),J89,"")</f>
      </c>
      <c r="AF89" s="111">
        <f>IF(AND(OR(E89=1,E89=0),G89=3,F89=0),J89,"")</f>
      </c>
      <c r="AG89" s="111">
        <f>IF(AND(OR(E89=1,E89=0),G89=1,F89=1),J89,"")</f>
      </c>
      <c r="AH89" s="111">
        <f>IF(AND(OR(E89=1,E89=0),G89=2,F89=1),J89,"")</f>
      </c>
      <c r="AI89" s="111">
        <f>IF(AND(OR(E89=1,E89=0),G89=3,F89=1),J89,"")</f>
      </c>
      <c r="AJ89" s="111">
        <f>IF(AND(OR(E89=2,E89=0),G89=1,F89=0),J89,"")</f>
      </c>
      <c r="AK89" s="111">
        <f>IF(AND(OR(E89=2,E89=0),G89=2,F89=0),J89,"")</f>
      </c>
      <c r="AL89" s="111">
        <f>IF(AND(OR(E89=2,E89=0),G89=3,F89=0),J89,"")</f>
      </c>
      <c r="AM89" s="111">
        <f>IF(AND(OR(E89=2,E89=0),G89=1,F89=1),J89,"")</f>
      </c>
      <c r="AN89" s="111">
        <f>IF(AND(OR(E89=2,E89=0),G89=2,F89=1),J89,"")</f>
      </c>
      <c r="AO89" s="111">
        <f>IF(AND(OR(E89=2,E89=0),G89=3,F89=1),J89,"")</f>
      </c>
      <c r="AP89" s="111">
        <f>IF(AND(OR(E89=3,E89=0),G89=1,F89=0),J89,"")</f>
      </c>
      <c r="AQ89" s="111">
        <f>IF(AND(OR(E89=3,E89=0),G89=2,F89=0),J89,"")</f>
      </c>
      <c r="AR89" s="111">
        <f>IF(AND(OR(E89=3,E89=0),G89=3,F89=0),J89,"")</f>
      </c>
      <c r="AS89" s="111">
        <f>IF(AND(OR(E89=3,E89=0),G89=1,F89=1),J89,"")</f>
      </c>
      <c r="AT89" s="111">
        <f>IF(AND(OR(E89=3,E89=0),G89=2,F89=1),J89,"")</f>
      </c>
      <c r="AU89" s="111">
        <f>IF(AND(OR(E89=3,E89=0),G89=3,F89=1),J89,"")</f>
      </c>
    </row>
    <row customHeight="true" ht="19" r="90">
      <c r="A90" s="75" t="str">
        <v>海、楽しまなきゃ！（sr红睡）</v>
      </c>
      <c r="B90" s="75" t="str"/>
      <c r="C90" s="75" t="str"/>
      <c r="D90" s="116">
        <f>IF(路线!B4="计算",持有情况!AM41,持有情况!AK40)-ROW()*1e-05</f>
      </c>
      <c r="E90" s="116">
        <v>2</v>
      </c>
      <c r="F90" s="117">
        <v>0</v>
      </c>
      <c r="G90" s="116">
        <v>1</v>
      </c>
      <c r="H90" s="117">
        <v>0</v>
      </c>
      <c r="I90" s="1" t="str"/>
      <c r="J90" s="116">
        <f>IF(路线!B4="计算",INT(45+17*路线!B32+30+持有情况!AM39),INT(45+17*路线!B32+30))-ROW()*1e-05</f>
      </c>
      <c r="K90" s="1" t="str"/>
      <c r="L90" s="111">
        <f>IF(AND(OR(E90=1,E90=0),G90=1),D90,"")</f>
      </c>
      <c r="M90" s="111">
        <f>IF(AND(OR(E90=2,E90=0),G90=1),D90,"")</f>
      </c>
      <c r="N90" s="111">
        <f>IF(AND(OR(E90=3,E90=0),G90=1),D90,"")</f>
      </c>
      <c r="O90" s="111">
        <f>IF(AND(OR(E90=1,E90=0),G90=2),D90,"")</f>
      </c>
      <c r="P90" s="111">
        <f>IF(AND(OR(E90=2,E90=0),G90=2),D90,"")</f>
      </c>
      <c r="Q90" s="111">
        <f>IF(AND(OR(E90=3,E90=0),G90=2),D90,"")</f>
      </c>
      <c r="R90" s="111">
        <f>IF(AND(OR(E90=1,E90=0),G90=3),D90,"")</f>
      </c>
      <c r="S90" s="111">
        <f>IF(AND(OR(E90=2,E90=0),G90=3),D90,"")</f>
      </c>
      <c r="T90" s="111">
        <f>IF(AND(OR(E90=3,E90=0),G90=3),D90,"")</f>
      </c>
      <c r="U90" s="111">
        <f>IF(AND(OR(E90=1,E90=0),G90=1,F90=1),D90,"")</f>
      </c>
      <c r="V90" s="111">
        <f>IF(AND(OR(E90=1,E90=0),G90=2,F90=1),D90,"")</f>
      </c>
      <c r="W90" s="111">
        <f>IF(AND(OR(E90=1,E90=0),G90=3,F90=1),D90,"")</f>
      </c>
      <c r="X90" s="111">
        <f>IF(AND(OR(E90=2,E90=0),G90=1,F90=1),D90,"")</f>
      </c>
      <c r="Y90" s="111">
        <f>IF(AND(OR(E90=2,E90=0),G90=2,F90=1),D90,"")</f>
      </c>
      <c r="Z90" s="111">
        <f>IF(AND(OR(E90=2,E90=0),G90=3,F90=1),D90,"")</f>
      </c>
      <c r="AA90" s="111">
        <f>IF(AND(OR(E90=3,E90=0),G90=1,F90=1),D90,"")</f>
      </c>
      <c r="AB90" s="111">
        <f>IF(AND(OR(E90=3,E90=0),G90=2,F90=1),D90,"")</f>
      </c>
      <c r="AC90" s="111">
        <f>IF(AND(OR(E90=3,E90=0),G90=3,F90=1),D90,"")</f>
      </c>
      <c r="AD90" s="111">
        <f>IF(AND(OR(E90=1,E90=0),G90=1,F90=0),J90,"")</f>
      </c>
      <c r="AE90" s="111">
        <f>IF(AND(OR(E90=1,E90=0),G90=2,F90=0),J90,"")</f>
      </c>
      <c r="AF90" s="111">
        <f>IF(AND(OR(E90=1,E90=0),G90=3,F90=0),J90,"")</f>
      </c>
      <c r="AG90" s="111">
        <f>IF(AND(OR(E90=1,E90=0),G90=1,F90=1),J90,"")</f>
      </c>
      <c r="AH90" s="111">
        <f>IF(AND(OR(E90=1,E90=0),G90=2,F90=1),J90,"")</f>
      </c>
      <c r="AI90" s="111">
        <f>IF(AND(OR(E90=1,E90=0),G90=3,F90=1),J90,"")</f>
      </c>
      <c r="AJ90" s="111">
        <f>IF(AND(OR(E90=2,E90=0),G90=1,F90=0),J90,"")</f>
      </c>
      <c r="AK90" s="111">
        <f>IF(AND(OR(E90=2,E90=0),G90=2,F90=0),J90,"")</f>
      </c>
      <c r="AL90" s="111">
        <f>IF(AND(OR(E90=2,E90=0),G90=3,F90=0),J90,"")</f>
      </c>
      <c r="AM90" s="111">
        <f>IF(AND(OR(E90=2,E90=0),G90=1,F90=1),J90,"")</f>
      </c>
      <c r="AN90" s="111">
        <f>IF(AND(OR(E90=2,E90=0),G90=2,F90=1),J90,"")</f>
      </c>
      <c r="AO90" s="111">
        <f>IF(AND(OR(E90=2,E90=0),G90=3,F90=1),J90,"")</f>
      </c>
      <c r="AP90" s="111">
        <f>IF(AND(OR(E90=3,E90=0),G90=1,F90=0),J90,"")</f>
      </c>
      <c r="AQ90" s="111">
        <f>IF(AND(OR(E90=3,E90=0),G90=2,F90=0),J90,"")</f>
      </c>
      <c r="AR90" s="111">
        <f>IF(AND(OR(E90=3,E90=0),G90=3,F90=0),J90,"")</f>
      </c>
      <c r="AS90" s="111">
        <f>IF(AND(OR(E90=3,E90=0),G90=1,F90=1),J90,"")</f>
      </c>
      <c r="AT90" s="111">
        <f>IF(AND(OR(E90=3,E90=0),G90=2,F90=1),J90,"")</f>
      </c>
      <c r="AU90" s="111">
        <f>IF(AND(OR(E90=3,E90=0),G90=3,F90=1),J90,"")</f>
      </c>
    </row>
    <row customHeight="true" ht="19" r="91">
      <c r="A91" s="75" t="str">
        <v>1人たりとも欠ける事なく（一年二班）</v>
      </c>
      <c r="B91" s="75" t="str"/>
      <c r="C91" s="75" t="str"/>
      <c r="D91" s="116">
        <f>持有情况!G58-ROW()*1e-05</f>
      </c>
      <c r="E91" s="117">
        <v>0</v>
      </c>
      <c r="F91" s="116">
        <v>1</v>
      </c>
      <c r="G91" s="116">
        <v>1</v>
      </c>
      <c r="H91" s="116">
        <v>1</v>
      </c>
      <c r="I91" s="111" t="str">
        <v>一年二班</v>
      </c>
      <c r="J91" s="116">
        <f>INT(60+8*路线!B33+40)-ROW()*1e-05</f>
      </c>
      <c r="K91" s="1" t="str"/>
      <c r="L91" s="111">
        <f>IF(AND(OR(E91=1,E91=0),G91=1),D91,"")</f>
      </c>
      <c r="M91" s="111">
        <f>IF(AND(OR(E91=2,E91=0),G91=1),D91,"")</f>
      </c>
      <c r="N91" s="111">
        <f>IF(AND(OR(E91=3,E91=0),G91=1),D91,"")</f>
      </c>
      <c r="O91" s="111">
        <f>IF(AND(OR(E91=1,E91=0),G91=2),D91,"")</f>
      </c>
      <c r="P91" s="111">
        <f>IF(AND(OR(E91=2,E91=0),G91=2),D91,"")</f>
      </c>
      <c r="Q91" s="111">
        <f>IF(AND(OR(E91=3,E91=0),G91=2),D91,"")</f>
      </c>
      <c r="R91" s="111">
        <f>IF(AND(OR(E91=1,E91=0),G91=3),D91,"")</f>
      </c>
      <c r="S91" s="111">
        <f>IF(AND(OR(E91=2,E91=0),G91=3),D91,"")</f>
      </c>
      <c r="T91" s="111">
        <f>IF(AND(OR(E91=3,E91=0),G91=3),D91,"")</f>
      </c>
      <c r="U91" s="111">
        <f>IF(AND(OR(E91=1,E91=0),G91=1,F91=1),D91,"")</f>
      </c>
      <c r="V91" s="111">
        <f>IF(AND(OR(E91=1,E91=0),G91=2,F91=1),D91,"")</f>
      </c>
      <c r="W91" s="111">
        <f>IF(AND(OR(E91=1,E91=0),G91=3,F91=1),D91,"")</f>
      </c>
      <c r="X91" s="111">
        <f>IF(AND(OR(E91=2,E91=0),G91=1,F91=1),D91,"")</f>
      </c>
      <c r="Y91" s="111">
        <f>IF(AND(OR(E91=2,E91=0),G91=2,F91=1),D91,"")</f>
      </c>
      <c r="Z91" s="111">
        <f>IF(AND(OR(E91=2,E91=0),G91=3,F91=1),D91,"")</f>
      </c>
      <c r="AA91" s="111">
        <f>IF(AND(OR(E91=3,E91=0),G91=1,F91=1),D91,"")</f>
      </c>
      <c r="AB91" s="111">
        <f>IF(AND(OR(E91=3,E91=0),G91=2,F91=1),D91,"")</f>
      </c>
      <c r="AC91" s="111">
        <f>IF(AND(OR(E91=3,E91=0),G91=3,F91=1),D91,"")</f>
      </c>
      <c r="AD91" s="111">
        <f>IF(AND(OR(E91=1,E91=0),G91=1,F91=0),J91,"")</f>
      </c>
      <c r="AE91" s="111">
        <f>IF(AND(OR(E91=1,E91=0),G91=2,F91=0),J91,"")</f>
      </c>
      <c r="AF91" s="111">
        <f>IF(AND(OR(E91=1,E91=0),G91=3,F91=0),J91,"")</f>
      </c>
      <c r="AG91" s="111">
        <f>IF(AND(OR(E91=1,E91=0),G91=1,F91=1),J91,"")</f>
      </c>
      <c r="AH91" s="111">
        <f>IF(AND(OR(E91=1,E91=0),G91=2,F91=1),J91,"")</f>
      </c>
      <c r="AI91" s="111">
        <f>IF(AND(OR(E91=1,E91=0),G91=3,F91=1),J91,"")</f>
      </c>
      <c r="AJ91" s="111">
        <f>IF(AND(OR(E91=2,E91=0),G91=1,F91=0),J91,"")</f>
      </c>
      <c r="AK91" s="111">
        <f>IF(AND(OR(E91=2,E91=0),G91=2,F91=0),J91,"")</f>
      </c>
      <c r="AL91" s="111">
        <f>IF(AND(OR(E91=2,E91=0),G91=3,F91=0),J91,"")</f>
      </c>
      <c r="AM91" s="111">
        <f>IF(AND(OR(E91=2,E91=0),G91=1,F91=1),J91,"")</f>
      </c>
      <c r="AN91" s="111">
        <f>IF(AND(OR(E91=2,E91=0),G91=2,F91=1),J91,"")</f>
      </c>
      <c r="AO91" s="111">
        <f>IF(AND(OR(E91=2,E91=0),G91=3,F91=1),J91,"")</f>
      </c>
      <c r="AP91" s="111">
        <f>IF(AND(OR(E91=3,E91=0),G91=1,F91=0),J91,"")</f>
      </c>
      <c r="AQ91" s="111">
        <f>IF(AND(OR(E91=3,E91=0),G91=2,F91=0),J91,"")</f>
      </c>
      <c r="AR91" s="111">
        <f>IF(AND(OR(E91=3,E91=0),G91=3,F91=0),J91,"")</f>
      </c>
      <c r="AS91" s="111">
        <f>IF(AND(OR(E91=3,E91=0),G91=1,F91=1),J91,"")</f>
      </c>
      <c r="AT91" s="111">
        <f>IF(AND(OR(E91=3,E91=0),G91=2,F91=1),J91,"")</f>
      </c>
      <c r="AU91" s="111">
        <f>IF(AND(OR(E91=3,E91=0),G91=3,F91=1),J91,"")</f>
      </c>
    </row>
    <row customHeight="true" ht="19" r="92">
      <c r="A92" s="75" t="str">
        <v>のらりくらりしっかり</v>
      </c>
      <c r="B92" s="75" t="str"/>
      <c r="C92" s="75" t="str"/>
      <c r="D92" s="116">
        <f>持有情况!AK22-ROW()*1e-05</f>
      </c>
      <c r="E92" s="117">
        <v>0</v>
      </c>
      <c r="F92" s="117">
        <v>0</v>
      </c>
      <c r="G92" s="116">
        <v>1</v>
      </c>
      <c r="H92" s="116">
        <v>1</v>
      </c>
      <c r="I92" s="1" t="str"/>
      <c r="J92" s="116">
        <f>IF(路线!C6="计算",INT((6.4/100)*路线!B12+11*路线!B34+4*路线!B17+30+20)-ROW()*1e-05,INT((6.4/100)*路线!B12+11*路线!B34+4*路线!B17+30)-ROW()*1e-05)</f>
      </c>
      <c r="K92" s="1" t="str"/>
      <c r="L92" s="111">
        <f>IF(AND(OR(E92=1,E92=0),G92=1),D92,"")</f>
      </c>
      <c r="M92" s="111">
        <f>IF(AND(OR(E92=2,E92=0),G92=1),D92,"")</f>
      </c>
      <c r="N92" s="111">
        <f>IF(AND(OR(E92=3,E92=0),G92=1),D92,"")</f>
      </c>
      <c r="O92" s="111">
        <f>IF(AND(OR(E92=1,E92=0),G92=2),D92,"")</f>
      </c>
      <c r="P92" s="111">
        <f>IF(AND(OR(E92=2,E92=0),G92=2),D92,"")</f>
      </c>
      <c r="Q92" s="111">
        <f>IF(AND(OR(E92=3,E92=0),G92=2),D92,"")</f>
      </c>
      <c r="R92" s="111">
        <f>IF(AND(OR(E92=1,E92=0),G92=3),D92,"")</f>
      </c>
      <c r="S92" s="111">
        <f>IF(AND(OR(E92=2,E92=0),G92=3),D92,"")</f>
      </c>
      <c r="T92" s="111">
        <f>IF(AND(OR(E92=3,E92=0),G92=3),D92,"")</f>
      </c>
      <c r="U92" s="111">
        <f>IF(AND(OR(E92=1,E92=0),G92=1,F92=1),D92,"")</f>
      </c>
      <c r="V92" s="111">
        <f>IF(AND(OR(E92=1,E92=0),G92=2,F92=1),D92,"")</f>
      </c>
      <c r="W92" s="111">
        <f>IF(AND(OR(E92=1,E92=0),G92=3,F92=1),D92,"")</f>
      </c>
      <c r="X92" s="111">
        <f>IF(AND(OR(E92=2,E92=0),G92=1,F92=1),D92,"")</f>
      </c>
      <c r="Y92" s="111">
        <f>IF(AND(OR(E92=2,E92=0),G92=2,F92=1),D92,"")</f>
      </c>
      <c r="Z92" s="111">
        <f>IF(AND(OR(E92=2,E92=0),G92=3,F92=1),D92,"")</f>
      </c>
      <c r="AA92" s="111">
        <f>IF(AND(OR(E92=3,E92=0),G92=1,F92=1),D92,"")</f>
      </c>
      <c r="AB92" s="111">
        <f>IF(AND(OR(E92=3,E92=0),G92=2,F92=1),D92,"")</f>
      </c>
      <c r="AC92" s="111">
        <f>IF(AND(OR(E92=3,E92=0),G92=3,F92=1),D92,"")</f>
      </c>
      <c r="AD92" s="111">
        <f>IF(AND(OR(E92=1,E92=0),G92=1,F92=0),J92,"")</f>
      </c>
      <c r="AE92" s="111">
        <f>IF(AND(OR(E92=1,E92=0),G92=2,F92=0),J92,"")</f>
      </c>
      <c r="AF92" s="111">
        <f>IF(AND(OR(E92=1,E92=0),G92=3,F92=0),J92,"")</f>
      </c>
      <c r="AG92" s="111">
        <f>IF(AND(OR(E92=1,E92=0),G92=1,F92=1),J92,"")</f>
      </c>
      <c r="AH92" s="111">
        <f>IF(AND(OR(E92=1,E92=0),G92=2,F92=1),J92,"")</f>
      </c>
      <c r="AI92" s="111">
        <f>IF(AND(OR(E92=1,E92=0),G92=3,F92=1),J92,"")</f>
      </c>
      <c r="AJ92" s="111">
        <f>IF(AND(OR(E92=2,E92=0),G92=1,F92=0),J92,"")</f>
      </c>
      <c r="AK92" s="111">
        <f>IF(AND(OR(E92=2,E92=0),G92=2,F92=0),J92,"")</f>
      </c>
      <c r="AL92" s="111">
        <f>IF(AND(OR(E92=2,E92=0),G92=3,F92=0),J92,"")</f>
      </c>
      <c r="AM92" s="111">
        <f>IF(AND(OR(E92=2,E92=0),G92=1,F92=1),J92,"")</f>
      </c>
      <c r="AN92" s="111">
        <f>IF(AND(OR(E92=2,E92=0),G92=2,F92=1),J92,"")</f>
      </c>
      <c r="AO92" s="111">
        <f>IF(AND(OR(E92=2,E92=0),G92=3,F92=1),J92,"")</f>
      </c>
      <c r="AP92" s="111">
        <f>IF(AND(OR(E92=3,E92=0),G92=1,F92=0),J92,"")</f>
      </c>
      <c r="AQ92" s="111">
        <f>IF(AND(OR(E92=3,E92=0),G92=2,F92=0),J92,"")</f>
      </c>
      <c r="AR92" s="111">
        <f>IF(AND(OR(E92=3,E92=0),G92=3,F92=0),J92,"")</f>
      </c>
      <c r="AS92" s="111">
        <f>IF(AND(OR(E92=3,E92=0),G92=1,F92=1),J92,"")</f>
      </c>
      <c r="AT92" s="111">
        <f>IF(AND(OR(E92=3,E92=0),G92=2,F92=1),J92,"")</f>
      </c>
      <c r="AU92" s="111">
        <f>IF(AND(OR(E92=3,E92=0),G92=3,F92=1),J92,"")</f>
      </c>
    </row>
    <row customHeight="true" ht="19" r="93">
      <c r="A93" s="99" t="str">
        <v>魅惑の大腿四頭筋</v>
      </c>
      <c r="B93" s="99" t="str"/>
      <c r="C93" s="99" t="str"/>
      <c r="D93" s="116">
        <f>'持有情况'!AU22-ROW()*0.00001</f>
      </c>
      <c r="E93" s="117">
        <v>0</v>
      </c>
      <c r="F93" s="117">
        <v>0</v>
      </c>
      <c r="G93" s="116">
        <v>2</v>
      </c>
      <c r="H93" s="116">
        <v>1</v>
      </c>
      <c r="I93" s="1" t="str"/>
      <c r="J93" s="116">
        <f>IF('路线'!C6="计算",INT((6.4/100)*'路线'!B12+11*'路线'!B33+4*'路线'!B17+30+20)-ROW()*0.00001,INT((6.4/100)*'路线'!B12+11*'路线'!B33+4*'路线'!B17+30)-ROW()*0.00001)</f>
      </c>
      <c r="K93" s="1" t="str"/>
      <c r="L93" s="111">
        <f>IF(AND(OR(E93=1,E93=0),G93=1),D93,"")</f>
      </c>
      <c r="M93" s="111">
        <f>IF(AND(OR(E93=2,E93=0),G93=1),D93,"")</f>
      </c>
      <c r="N93" s="111">
        <f>IF(AND(OR(E93=3,E93=0),G93=1),D93,"")</f>
      </c>
      <c r="O93" s="111">
        <f>IF(AND(OR(E93=1,E93=0),G93=2),D93,"")</f>
      </c>
      <c r="P93" s="111">
        <f>IF(AND(OR(E93=2,E93=0),G93=2),D93,"")</f>
      </c>
      <c r="Q93" s="111">
        <f>IF(AND(OR(E93=3,E93=0),G93=2),D93,"")</f>
      </c>
      <c r="R93" s="111">
        <f>IF(AND(OR(E93=1,E93=0),G93=3),D93,"")</f>
      </c>
      <c r="S93" s="111">
        <f>IF(AND(OR(E93=2,E93=0),G93=3),D93,"")</f>
      </c>
      <c r="T93" s="111">
        <f>IF(AND(OR(E93=3,E93=0),G93=3),D93,"")</f>
      </c>
      <c r="U93" s="111">
        <f>IF(AND(OR(E93=1,E93=0),G93=1,F93=1),D93,"")</f>
      </c>
      <c r="V93" s="111">
        <f>IF(AND(OR(E93=1,E93=0),G93=2,F93=1),D93,"")</f>
      </c>
      <c r="W93" s="111">
        <f>IF(AND(OR(E93=1,E93=0),G93=3,F93=1),D93,"")</f>
      </c>
      <c r="X93" s="111">
        <f>IF(AND(OR(E93=2,E93=0),G93=1,F93=1),D93,"")</f>
      </c>
      <c r="Y93" s="111">
        <f>IF(AND(OR(E93=2,E93=0),G93=2,F93=1),D93,"")</f>
      </c>
      <c r="Z93" s="111">
        <f>IF(AND(OR(E93=2,E93=0),G93=3,F93=1),D93,"")</f>
      </c>
      <c r="AA93" s="111">
        <f>IF(AND(OR(E93=3,E93=0),G93=1,F93=1),D93,"")</f>
      </c>
      <c r="AB93" s="111">
        <f>IF(AND(OR(E93=3,E93=0),G93=2,F93=1),D93,"")</f>
      </c>
      <c r="AC93" s="111">
        <f>IF(AND(OR(E93=3,E93=0),G93=3,F93=1),D93,"")</f>
      </c>
      <c r="AD93" s="111">
        <f>IF(AND(OR(E93=1,E93=0),G93=1,F93=0),J93,"")</f>
      </c>
      <c r="AE93" s="111">
        <f>IF(AND(OR(E93=1,E93=0),G93=2,F93=0),J93,"")</f>
      </c>
      <c r="AF93" s="111">
        <f>IF(AND(OR(E93=1,E93=0),G93=3,F93=0),J93,"")</f>
      </c>
      <c r="AG93" s="111">
        <f>IF(AND(OR(E93=1,E93=0),G93=1,F93=1),J93,"")</f>
      </c>
      <c r="AH93" s="111">
        <f>IF(AND(OR(E93=1,E93=0),G93=2,F93=1),J93,"")</f>
      </c>
      <c r="AI93" s="111">
        <f>IF(AND(OR(E93=1,E93=0),G93=3,F93=1),J93,"")</f>
      </c>
      <c r="AJ93" s="111">
        <f>IF(AND(OR(E93=2,E93=0),G93=1,F93=0),J93,"")</f>
      </c>
      <c r="AK93" s="111">
        <f>IF(AND(OR(E93=2,E93=0),G93=2,F93=0),J93,"")</f>
      </c>
      <c r="AL93" s="111">
        <f>IF(AND(OR(E93=2,E93=0),G93=3,F93=0),J93,"")</f>
      </c>
      <c r="AM93" s="111">
        <f>IF(AND(OR(E93=2,E93=0),G93=1,F93=1),J93,"")</f>
      </c>
      <c r="AN93" s="111">
        <f>IF(AND(OR(E93=2,E93=0),G93=2,F93=1),J93,"")</f>
      </c>
      <c r="AO93" s="111">
        <f>IF(AND(OR(E93=2,E93=0),G93=3,F93=1),J93,"")</f>
      </c>
      <c r="AP93" s="111">
        <f>IF(AND(OR(E93=3,E93=0),G93=1,F93=0),J93,"")</f>
      </c>
      <c r="AQ93" s="111">
        <f>IF(AND(OR(E93=3,E93=0),G93=2,F93=0),J93,"")</f>
      </c>
      <c r="AR93" s="111">
        <f>IF(AND(OR(E93=3,E93=0),G93=3,F93=0),J93,"")</f>
      </c>
      <c r="AS93" s="111">
        <f>IF(AND(OR(E93=3,E93=0),G93=1,F93=1),J93,"")</f>
      </c>
      <c r="AT93" s="111">
        <f>IF(AND(OR(E93=3,E93=0),G93=2,F93=1),J93,"")</f>
      </c>
      <c r="AU93" s="111">
        <f>IF(AND(OR(E93=3,E93=0),G93=3,F93=1),J93,"")</f>
      </c>
    </row>
    <row customHeight="true" ht="19" r="94">
      <c r="A94" s="75" t="str">
        <v>ブレイクタイムは珈琲で（sr红购物）</v>
      </c>
      <c r="B94" s="75" t="str"/>
      <c r="C94" s="75" t="str"/>
      <c r="D94" s="116">
        <f>'持有情况'!AK52-ROW()*0.00001</f>
      </c>
      <c r="E94" s="116">
        <v>2</v>
      </c>
      <c r="F94" s="117">
        <v>0</v>
      </c>
      <c r="G94" s="116">
        <v>1</v>
      </c>
      <c r="H94" s="117">
        <v>0</v>
      </c>
      <c r="I94" s="1" t="str"/>
      <c r="J94" s="116">
        <f>INT(45+8*'路线'!B39+4*'路线'!B17+30)-ROW()*0.00001</f>
      </c>
      <c r="K94" s="1" t="str"/>
      <c r="L94" s="111">
        <f>IF(AND(OR(E94=1,E94=0),G94=1),D94,"")</f>
      </c>
      <c r="M94" s="111">
        <f>IF(AND(OR(E94=2,E94=0),G94=1),D94,"")</f>
      </c>
      <c r="N94" s="111">
        <f>IF(AND(OR(E94=3,E94=0),G94=1),D94,"")</f>
      </c>
      <c r="O94" s="111">
        <f>IF(AND(OR(E94=1,E94=0),G94=2),D94,"")</f>
      </c>
      <c r="P94" s="111">
        <f>IF(AND(OR(E94=2,E94=0),G94=2),D94,"")</f>
      </c>
      <c r="Q94" s="111">
        <f>IF(AND(OR(E94=3,E94=0),G94=2),D94,"")</f>
      </c>
      <c r="R94" s="111">
        <f>IF(AND(OR(E94=1,E94=0),G94=3),D94,"")</f>
      </c>
      <c r="S94" s="111">
        <f>IF(AND(OR(E94=2,E94=0),G94=3),D94,"")</f>
      </c>
      <c r="T94" s="111">
        <f>IF(AND(OR(E94=3,E94=0),G94=3),D94,"")</f>
      </c>
      <c r="U94" s="111">
        <f>IF(AND(OR(E94=1,E94=0),G94=1,F94=1),D94,"")</f>
      </c>
      <c r="V94" s="111">
        <f>IF(AND(OR(E94=1,E94=0),G94=2,F94=1),D94,"")</f>
      </c>
      <c r="W94" s="111">
        <f>IF(AND(OR(E94=1,E94=0),G94=3,F94=1),D94,"")</f>
      </c>
      <c r="X94" s="111">
        <f>IF(AND(OR(E94=2,E94=0),G94=1,F94=1),D94,"")</f>
      </c>
      <c r="Y94" s="111">
        <f>IF(AND(OR(E94=2,E94=0),G94=2,F94=1),D94,"")</f>
      </c>
      <c r="Z94" s="111">
        <f>IF(AND(OR(E94=2,E94=0),G94=3,F94=1),D94,"")</f>
      </c>
      <c r="AA94" s="111">
        <f>IF(AND(OR(E94=3,E94=0),G94=1,F94=1),D94,"")</f>
      </c>
      <c r="AB94" s="111">
        <f>IF(AND(OR(E94=3,E94=0),G94=2,F94=1),D94,"")</f>
      </c>
      <c r="AC94" s="111">
        <f>IF(AND(OR(E94=3,E94=0),G94=3,F94=1),D94,"")</f>
      </c>
      <c r="AD94" s="111">
        <f>IF(AND(OR(E94=1,E94=0),G94=1,F94=0),J94,"")</f>
      </c>
      <c r="AE94" s="111">
        <f>IF(AND(OR(E94=1,E94=0),G94=2,F94=0),J94,"")</f>
      </c>
      <c r="AF94" s="111">
        <f>IF(AND(OR(E94=1,E94=0),G94=3,F94=0),J94,"")</f>
      </c>
      <c r="AG94" s="111">
        <f>IF(AND(OR(E94=1,E94=0),G94=1,F94=1),J94,"")</f>
      </c>
      <c r="AH94" s="111">
        <f>IF(AND(OR(E94=1,E94=0),G94=2,F94=1),J94,"")</f>
      </c>
      <c r="AI94" s="111">
        <f>IF(AND(OR(E94=1,E94=0),G94=3,F94=1),J94,"")</f>
      </c>
      <c r="AJ94" s="111">
        <f>IF(AND(OR(E94=2,E94=0),G94=1,F94=0),J94,"")</f>
      </c>
      <c r="AK94" s="111">
        <f>IF(AND(OR(E94=2,E94=0),G94=2,F94=0),J94,"")</f>
      </c>
      <c r="AL94" s="111">
        <f>IF(AND(OR(E94=2,E94=0),G94=3,F94=0),J94,"")</f>
      </c>
      <c r="AM94" s="111">
        <f>IF(AND(OR(E94=2,E94=0),G94=1,F94=1),J94,"")</f>
      </c>
      <c r="AN94" s="111">
        <f>IF(AND(OR(E94=2,E94=0),G94=2,F94=1),J94,"")</f>
      </c>
      <c r="AO94" s="111">
        <f>IF(AND(OR(E94=2,E94=0),G94=3,F94=1),J94,"")</f>
      </c>
      <c r="AP94" s="111">
        <f>IF(AND(OR(E94=3,E94=0),G94=1,F94=0),J94,"")</f>
      </c>
      <c r="AQ94" s="111">
        <f>IF(AND(OR(E94=3,E94=0),G94=2,F94=0),J94,"")</f>
      </c>
      <c r="AR94" s="111">
        <f>IF(AND(OR(E94=3,E94=0),G94=3,F94=0),J94,"")</f>
      </c>
      <c r="AS94" s="111">
        <f>IF(AND(OR(E94=3,E94=0),G94=1,F94=1),J94,"")</f>
      </c>
      <c r="AT94" s="111">
        <f>IF(AND(OR(E94=3,E94=0),G94=2,F94=1),J94,"")</f>
      </c>
      <c r="AU94" s="111">
        <f>IF(AND(OR(E94=3,E94=0),G94=3,F94=1),J94,"")</f>
      </c>
    </row>
    <row customHeight="true" ht="19" r="95">
      <c r="A95" s="75" t="str">
        <v>基礎＞応用（红老师）</v>
      </c>
      <c r="B95" s="75" t="str"/>
      <c r="C95" s="75" t="str"/>
      <c r="D95" s="116">
        <f>'持有情况'!AK64-ROW()*0.00001</f>
      </c>
      <c r="E95" s="117">
        <v>0</v>
      </c>
      <c r="F95" s="116">
        <v>1</v>
      </c>
      <c r="G95" s="116">
        <v>1</v>
      </c>
      <c r="H95" s="117">
        <v>0</v>
      </c>
      <c r="I95" s="1" t="str"/>
      <c r="J95" s="116">
        <f>INT(45+2*('路线'!B23+'路线'!B24)+30)-ROW()*0.00001</f>
      </c>
      <c r="K95" s="1" t="str"/>
      <c r="L95" s="111">
        <f>IF(AND(OR(E95=1,E95=0),G95=1),D95,"")</f>
      </c>
      <c r="M95" s="111">
        <f>IF(AND(OR(E95=2,E95=0),G95=1),D95,"")</f>
      </c>
      <c r="N95" s="111">
        <f>IF(AND(OR(E95=3,E95=0),G95=1),D95,"")</f>
      </c>
      <c r="O95" s="111">
        <f>IF(AND(OR(E95=1,E95=0),G95=2),D95,"")</f>
      </c>
      <c r="P95" s="111">
        <f>IF(AND(OR(E95=2,E95=0),G95=2),D95,"")</f>
      </c>
      <c r="Q95" s="111">
        <f>IF(AND(OR(E95=3,E95=0),G95=2),D95,"")</f>
      </c>
      <c r="R95" s="111">
        <f>IF(AND(OR(E95=1,E95=0),G95=3),D95,"")</f>
      </c>
      <c r="S95" s="111">
        <f>IF(AND(OR(E95=2,E95=0),G95=3),D95,"")</f>
      </c>
      <c r="T95" s="111">
        <f>IF(AND(OR(E95=3,E95=0),G95=3),D95,"")</f>
      </c>
      <c r="U95" s="111">
        <f>IF(AND(OR(E95=1,E95=0),G95=1,F95=1),D95,"")</f>
      </c>
      <c r="V95" s="111">
        <f>IF(AND(OR(E95=1,E95=0),G95=2,F95=1),D95,"")</f>
      </c>
      <c r="W95" s="111">
        <f>IF(AND(OR(E95=1,E95=0),G95=3,F95=1),D95,"")</f>
      </c>
      <c r="X95" s="111">
        <f>IF(AND(OR(E95=2,E95=0),G95=1,F95=1),D95,"")</f>
      </c>
      <c r="Y95" s="111">
        <f>IF(AND(OR(E95=2,E95=0),G95=2,F95=1),D95,"")</f>
      </c>
      <c r="Z95" s="111">
        <f>IF(AND(OR(E95=2,E95=0),G95=3,F95=1),D95,"")</f>
      </c>
      <c r="AA95" s="111">
        <f>IF(AND(OR(E95=3,E95=0),G95=1,F95=1),D95,"")</f>
      </c>
      <c r="AB95" s="111">
        <f>IF(AND(OR(E95=3,E95=0),G95=2,F95=1),D95,"")</f>
      </c>
      <c r="AC95" s="111">
        <f>IF(AND(OR(E95=3,E95=0),G95=3,F95=1),D95,"")</f>
      </c>
      <c r="AD95" s="111">
        <f>IF(AND(OR(E95=1,E95=0),G95=1,F95=0),J95,"")</f>
      </c>
      <c r="AE95" s="111">
        <f>IF(AND(OR(E95=1,E95=0),G95=2,F95=0),J95,"")</f>
      </c>
      <c r="AF95" s="111">
        <f>IF(AND(OR(E95=1,E95=0),G95=3,F95=0),J95,"")</f>
      </c>
      <c r="AG95" s="111">
        <f>IF(AND(OR(E95=1,E95=0),G95=1,F95=1),J95,"")</f>
      </c>
      <c r="AH95" s="111">
        <f>IF(AND(OR(E95=1,E95=0),G95=2,F95=1),J95,"")</f>
      </c>
      <c r="AI95" s="111">
        <f>IF(AND(OR(E95=1,E95=0),G95=3,F95=1),J95,"")</f>
      </c>
      <c r="AJ95" s="111">
        <f>IF(AND(OR(E95=2,E95=0),G95=1,F95=0),J95,"")</f>
      </c>
      <c r="AK95" s="111">
        <f>IF(AND(OR(E95=2,E95=0),G95=2,F95=0),J95,"")</f>
      </c>
      <c r="AL95" s="111">
        <f>IF(AND(OR(E95=2,E95=0),G95=3,F95=0),J95,"")</f>
      </c>
      <c r="AM95" s="111">
        <f>IF(AND(OR(E95=2,E95=0),G95=1,F95=1),J95,"")</f>
      </c>
      <c r="AN95" s="111">
        <f>IF(AND(OR(E95=2,E95=0),G95=2,F95=1),J95,"")</f>
      </c>
      <c r="AO95" s="111">
        <f>IF(AND(OR(E95=2,E95=0),G95=3,F95=1),J95,"")</f>
      </c>
      <c r="AP95" s="111">
        <f>IF(AND(OR(E95=3,E95=0),G95=1,F95=0),J95,"")</f>
      </c>
      <c r="AQ95" s="111">
        <f>IF(AND(OR(E95=3,E95=0),G95=2,F95=0),J95,"")</f>
      </c>
      <c r="AR95" s="111">
        <f>IF(AND(OR(E95=3,E95=0),G95=3,F95=0),J95,"")</f>
      </c>
      <c r="AS95" s="111">
        <f>IF(AND(OR(E95=3,E95=0),G95=1,F95=1),J95,"")</f>
      </c>
      <c r="AT95" s="111">
        <f>IF(AND(OR(E95=3,E95=0),G95=2,F95=1),J95,"")</f>
      </c>
      <c r="AU95" s="111">
        <f>IF(AND(OR(E95=3,E95=0),G95=3,F95=1),J95,"")</f>
      </c>
    </row>
    <row customHeight="true" ht="19" r="96">
      <c r="A96" s="99" t="str">
        <v>キュっと締めて（sr蓝购物）</v>
      </c>
      <c r="B96" s="99" t="str"/>
      <c r="C96" s="99" t="str"/>
      <c r="D96" s="116">
        <f>'持有情况'!AU46-ROW()*0.00001</f>
      </c>
      <c r="E96" s="116">
        <v>1</v>
      </c>
      <c r="F96" s="117">
        <v>0</v>
      </c>
      <c r="G96" s="116">
        <v>2</v>
      </c>
      <c r="H96" s="117">
        <v>0</v>
      </c>
      <c r="I96" s="1" t="str"/>
      <c r="J96" s="116">
        <f>INT(45+8*'路线'!B39+4*'路线'!B17+30)-ROW()*0.00001</f>
      </c>
      <c r="K96" s="1" t="str"/>
      <c r="L96" s="111">
        <f>IF(AND(OR(E96=1,E96=0),G96=1),D96,"")</f>
      </c>
      <c r="M96" s="111">
        <f>IF(AND(OR(E96=2,E96=0),G96=1),D96,"")</f>
      </c>
      <c r="N96" s="111">
        <f>IF(AND(OR(E96=3,E96=0),G96=1),D96,"")</f>
      </c>
      <c r="O96" s="111">
        <f>IF(AND(OR(E96=1,E96=0),G96=2),D96,"")</f>
      </c>
      <c r="P96" s="111">
        <f>IF(AND(OR(E96=2,E96=0),G96=2),D96,"")</f>
      </c>
      <c r="Q96" s="111">
        <f>IF(AND(OR(E96=3,E96=0),G96=2),D96,"")</f>
      </c>
      <c r="R96" s="111">
        <f>IF(AND(OR(E96=1,E96=0),G96=3),D96,"")</f>
      </c>
      <c r="S96" s="111">
        <f>IF(AND(OR(E96=2,E96=0),G96=3),D96,"")</f>
      </c>
      <c r="T96" s="111">
        <f>IF(AND(OR(E96=3,E96=0),G96=3),D96,"")</f>
      </c>
      <c r="U96" s="111">
        <f>IF(AND(OR(E96=1,E96=0),G96=1,F96=1),D96,"")</f>
      </c>
      <c r="V96" s="111">
        <f>IF(AND(OR(E96=1,E96=0),G96=2,F96=1),D96,"")</f>
      </c>
      <c r="W96" s="111">
        <f>IF(AND(OR(E96=1,E96=0),G96=3,F96=1),D96,"")</f>
      </c>
      <c r="X96" s="111">
        <f>IF(AND(OR(E96=2,E96=0),G96=1,F96=1),D96,"")</f>
      </c>
      <c r="Y96" s="111">
        <f>IF(AND(OR(E96=2,E96=0),G96=2,F96=1),D96,"")</f>
      </c>
      <c r="Z96" s="111">
        <f>IF(AND(OR(E96=2,E96=0),G96=3,F96=1),D96,"")</f>
      </c>
      <c r="AA96" s="111">
        <f>IF(AND(OR(E96=3,E96=0),G96=1,F96=1),D96,"")</f>
      </c>
      <c r="AB96" s="111">
        <f>IF(AND(OR(E96=3,E96=0),G96=2,F96=1),D96,"")</f>
      </c>
      <c r="AC96" s="111">
        <f>IF(AND(OR(E96=3,E96=0),G96=3,F96=1),D96,"")</f>
      </c>
      <c r="AD96" s="111">
        <f>IF(AND(OR(E96=1,E96=0),G96=1,F96=0),J96,"")</f>
      </c>
      <c r="AE96" s="111">
        <f>IF(AND(OR(E96=1,E96=0),G96=2,F96=0),J96,"")</f>
      </c>
      <c r="AF96" s="111">
        <f>IF(AND(OR(E96=1,E96=0),G96=3,F96=0),J96,"")</f>
      </c>
      <c r="AG96" s="111">
        <f>IF(AND(OR(E96=1,E96=0),G96=1,F96=1),J96,"")</f>
      </c>
      <c r="AH96" s="111">
        <f>IF(AND(OR(E96=1,E96=0),G96=2,F96=1),J96,"")</f>
      </c>
      <c r="AI96" s="111">
        <f>IF(AND(OR(E96=1,E96=0),G96=3,F96=1),J96,"")</f>
      </c>
      <c r="AJ96" s="111">
        <f>IF(AND(OR(E96=2,E96=0),G96=1,F96=0),J96,"")</f>
      </c>
      <c r="AK96" s="111">
        <f>IF(AND(OR(E96=2,E96=0),G96=2,F96=0),J96,"")</f>
      </c>
      <c r="AL96" s="111">
        <f>IF(AND(OR(E96=2,E96=0),G96=3,F96=0),J96,"")</f>
      </c>
      <c r="AM96" s="111">
        <f>IF(AND(OR(E96=2,E96=0),G96=1,F96=1),J96,"")</f>
      </c>
      <c r="AN96" s="111">
        <f>IF(AND(OR(E96=2,E96=0),G96=2,F96=1),J96,"")</f>
      </c>
      <c r="AO96" s="111">
        <f>IF(AND(OR(E96=2,E96=0),G96=3,F96=1),J96,"")</f>
      </c>
      <c r="AP96" s="111">
        <f>IF(AND(OR(E96=3,E96=0),G96=1,F96=0),J96,"")</f>
      </c>
      <c r="AQ96" s="111">
        <f>IF(AND(OR(E96=3,E96=0),G96=2,F96=0),J96,"")</f>
      </c>
      <c r="AR96" s="111">
        <f>IF(AND(OR(E96=3,E96=0),G96=3,F96=0),J96,"")</f>
      </c>
      <c r="AS96" s="111">
        <f>IF(AND(OR(E96=3,E96=0),G96=1,F96=1),J96,"")</f>
      </c>
      <c r="AT96" s="111">
        <f>IF(AND(OR(E96=3,E96=0),G96=2,F96=1),J96,"")</f>
      </c>
      <c r="AU96" s="111">
        <f>IF(AND(OR(E96=3,E96=0),G96=3,F96=1),J96,"")</f>
      </c>
    </row>
    <row customHeight="true" ht="19" r="97">
      <c r="A97" s="99" t="str">
        <v>パシャっとキメポ（sr蓝睡）</v>
      </c>
      <c r="B97" s="99" t="str"/>
      <c r="C97" s="99" t="str"/>
      <c r="D97" s="116">
        <f>'持有情况'!AU28-ROW()*0.00001</f>
      </c>
      <c r="E97" s="116">
        <v>1</v>
      </c>
      <c r="F97" s="117">
        <v>0</v>
      </c>
      <c r="G97" s="116">
        <v>2</v>
      </c>
      <c r="H97" s="116">
        <v>1</v>
      </c>
      <c r="I97" s="111" t="str">
        <v>sr蓝睡</v>
      </c>
      <c r="J97" s="116">
        <f>IF('路线'!C6="计算",INT(45+17*'路线'!B32+4*'路线'!B17+30+20)-ROW()*0.00001,INT(45+17*'路线'!B32+4*'路线'!B17+30)-ROW()*0.00001)</f>
      </c>
      <c r="K97" s="1" t="str"/>
      <c r="L97" s="111">
        <f>IF(AND(OR(E97=1,E97=0),G97=1),D97,"")</f>
      </c>
      <c r="M97" s="111">
        <f>IF(AND(OR(E97=2,E97=0),G97=1),D97,"")</f>
      </c>
      <c r="N97" s="111">
        <f>IF(AND(OR(E97=3,E97=0),G97=1),D97,"")</f>
      </c>
      <c r="O97" s="111">
        <f>IF(AND(OR(E97=1,E97=0),G97=2),D97,"")</f>
      </c>
      <c r="P97" s="111">
        <f>IF(AND(OR(E97=2,E97=0),G97=2),D97,"")</f>
      </c>
      <c r="Q97" s="111">
        <f>IF(AND(OR(E97=3,E97=0),G97=2),D97,"")</f>
      </c>
      <c r="R97" s="111">
        <f>IF(AND(OR(E97=1,E97=0),G97=3),D97,"")</f>
      </c>
      <c r="S97" s="111">
        <f>IF(AND(OR(E97=2,E97=0),G97=3),D97,"")</f>
      </c>
      <c r="T97" s="111">
        <f>IF(AND(OR(E97=3,E97=0),G97=3),D97,"")</f>
      </c>
      <c r="U97" s="111">
        <f>IF(AND(OR(E97=1,E97=0),G97=1,F97=1),D97,"")</f>
      </c>
      <c r="V97" s="111">
        <f>IF(AND(OR(E97=1,E97=0),G97=2,F97=1),D97,"")</f>
      </c>
      <c r="W97" s="111">
        <f>IF(AND(OR(E97=1,E97=0),G97=3,F97=1),D97,"")</f>
      </c>
      <c r="X97" s="111">
        <f>IF(AND(OR(E97=2,E97=0),G97=1,F97=1),D97,"")</f>
      </c>
      <c r="Y97" s="111">
        <f>IF(AND(OR(E97=2,E97=0),G97=2,F97=1),D97,"")</f>
      </c>
      <c r="Z97" s="111">
        <f>IF(AND(OR(E97=2,E97=0),G97=3,F97=1),D97,"")</f>
      </c>
      <c r="AA97" s="111">
        <f>IF(AND(OR(E97=3,E97=0),G97=1,F97=1),D97,"")</f>
      </c>
      <c r="AB97" s="111">
        <f>IF(AND(OR(E97=3,E97=0),G97=2,F97=1),D97,"")</f>
      </c>
      <c r="AC97" s="111">
        <f>IF(AND(OR(E97=3,E97=0),G97=3,F97=1),D97,"")</f>
      </c>
      <c r="AD97" s="111">
        <f>IF(AND(OR(E97=1,E97=0),G97=1,F97=0),J97,"")</f>
      </c>
      <c r="AE97" s="111">
        <f>IF(AND(OR(E97=1,E97=0),G97=2,F97=0),J97,"")</f>
      </c>
      <c r="AF97" s="111">
        <f>IF(AND(OR(E97=1,E97=0),G97=3,F97=0),J97,"")</f>
      </c>
      <c r="AG97" s="111">
        <f>IF(AND(OR(E97=1,E97=0),G97=1,F97=1),J97,"")</f>
      </c>
      <c r="AH97" s="111">
        <f>IF(AND(OR(E97=1,E97=0),G97=2,F97=1),J97,"")</f>
      </c>
      <c r="AI97" s="111">
        <f>IF(AND(OR(E97=1,E97=0),G97=3,F97=1),J97,"")</f>
      </c>
      <c r="AJ97" s="111">
        <f>IF(AND(OR(E97=2,E97=0),G97=1,F97=0),J97,"")</f>
      </c>
      <c r="AK97" s="111">
        <f>IF(AND(OR(E97=2,E97=0),G97=2,F97=0),J97,"")</f>
      </c>
      <c r="AL97" s="111">
        <f>IF(AND(OR(E97=2,E97=0),G97=3,F97=0),J97,"")</f>
      </c>
      <c r="AM97" s="111">
        <f>IF(AND(OR(E97=2,E97=0),G97=1,F97=1),J97,"")</f>
      </c>
      <c r="AN97" s="111">
        <f>IF(AND(OR(E97=2,E97=0),G97=2,F97=1),J97,"")</f>
      </c>
      <c r="AO97" s="111">
        <f>IF(AND(OR(E97=2,E97=0),G97=3,F97=1),J97,"")</f>
      </c>
      <c r="AP97" s="111">
        <f>IF(AND(OR(E97=3,E97=0),G97=1,F97=0),J97,"")</f>
      </c>
      <c r="AQ97" s="111">
        <f>IF(AND(OR(E97=3,E97=0),G97=2,F97=0),J97,"")</f>
      </c>
      <c r="AR97" s="111">
        <f>IF(AND(OR(E97=3,E97=0),G97=3,F97=0),J97,"")</f>
      </c>
      <c r="AS97" s="111">
        <f>IF(AND(OR(E97=3,E97=0),G97=1,F97=1),J97,"")</f>
      </c>
      <c r="AT97" s="111">
        <f>IF(AND(OR(E97=3,E97=0),G97=2,F97=1),J97,"")</f>
      </c>
      <c r="AU97" s="111">
        <f>IF(AND(OR(E97=3,E97=0),G97=3,F97=1),J97,"")</f>
      </c>
    </row>
    <row customHeight="true" ht="19" r="98">
      <c r="A98" s="86" t="str">
        <v>てとりあしとり</v>
      </c>
      <c r="B98" s="86" t="str"/>
      <c r="C98" s="86" t="str"/>
      <c r="D98" s="116">
        <f>'持有情况'!BE22-ROW()*0.00001</f>
      </c>
      <c r="E98" s="117">
        <v>0</v>
      </c>
      <c r="F98" s="117">
        <v>0</v>
      </c>
      <c r="G98" s="116">
        <v>3</v>
      </c>
      <c r="H98" s="116">
        <v>1</v>
      </c>
      <c r="I98" s="1" t="str"/>
      <c r="J98" s="116">
        <f>IF('路线'!C6="计算",INT(45+11*'路线'!B34+4*'路线'!B17+30+20)-ROW()*0.00001,INT(45+11*'路线'!B34+4*'路线'!B17+30)-ROW()*0.00001)</f>
      </c>
      <c r="K98" s="1" t="str"/>
      <c r="L98" s="111">
        <f>IF(AND(OR(E98=1,E98=0),G98=1),D98,"")</f>
      </c>
      <c r="M98" s="111">
        <f>IF(AND(OR(E98=2,E98=0),G98=1),D98,"")</f>
      </c>
      <c r="N98" s="111">
        <f>IF(AND(OR(E98=3,E98=0),G98=1),D98,"")</f>
      </c>
      <c r="O98" s="111">
        <f>IF(AND(OR(E98=1,E98=0),G98=2),D98,"")</f>
      </c>
      <c r="P98" s="111">
        <f>IF(AND(OR(E98=2,E98=0),G98=2),D98,"")</f>
      </c>
      <c r="Q98" s="111">
        <f>IF(AND(OR(E98=3,E98=0),G98=2),D98,"")</f>
      </c>
      <c r="R98" s="111">
        <f>IF(AND(OR(E98=1,E98=0),G98=3),D98,"")</f>
      </c>
      <c r="S98" s="111">
        <f>IF(AND(OR(E98=2,E98=0),G98=3),D98,"")</f>
      </c>
      <c r="T98" s="111">
        <f>IF(AND(OR(E98=3,E98=0),G98=3),D98,"")</f>
      </c>
      <c r="U98" s="111">
        <f>IF(AND(OR(E98=1,E98=0),G98=1,F98=1),D98,"")</f>
      </c>
      <c r="V98" s="111">
        <f>IF(AND(OR(E98=1,E98=0),G98=2,F98=1),D98,"")</f>
      </c>
      <c r="W98" s="111">
        <f>IF(AND(OR(E98=1,E98=0),G98=3,F98=1),D98,"")</f>
      </c>
      <c r="X98" s="111">
        <f>IF(AND(OR(E98=2,E98=0),G98=1,F98=1),D98,"")</f>
      </c>
      <c r="Y98" s="111">
        <f>IF(AND(OR(E98=2,E98=0),G98=2,F98=1),D98,"")</f>
      </c>
      <c r="Z98" s="111">
        <f>IF(AND(OR(E98=2,E98=0),G98=3,F98=1),D98,"")</f>
      </c>
      <c r="AA98" s="111">
        <f>IF(AND(OR(E98=3,E98=0),G98=1,F98=1),D98,"")</f>
      </c>
      <c r="AB98" s="111">
        <f>IF(AND(OR(E98=3,E98=0),G98=2,F98=1),D98,"")</f>
      </c>
      <c r="AC98" s="111">
        <f>IF(AND(OR(E98=3,E98=0),G98=3,F98=1),D98,"")</f>
      </c>
      <c r="AD98" s="111">
        <f>IF(AND(OR(E98=1,E98=0),G98=1,F98=0),J98,"")</f>
      </c>
      <c r="AE98" s="111">
        <f>IF(AND(OR(E98=1,E98=0),G98=2,F98=0),J98,"")</f>
      </c>
      <c r="AF98" s="111">
        <f>IF(AND(OR(E98=1,E98=0),G98=3,F98=0),J98,"")</f>
      </c>
      <c r="AG98" s="111">
        <f>IF(AND(OR(E98=1,E98=0),G98=1,F98=1),J98,"")</f>
      </c>
      <c r="AH98" s="111">
        <f>IF(AND(OR(E98=1,E98=0),G98=2,F98=1),J98,"")</f>
      </c>
      <c r="AI98" s="111">
        <f>IF(AND(OR(E98=1,E98=0),G98=3,F98=1),J98,"")</f>
      </c>
      <c r="AJ98" s="111">
        <f>IF(AND(OR(E98=2,E98=0),G98=1,F98=0),J98,"")</f>
      </c>
      <c r="AK98" s="111">
        <f>IF(AND(OR(E98=2,E98=0),G98=2,F98=0),J98,"")</f>
      </c>
      <c r="AL98" s="111">
        <f>IF(AND(OR(E98=2,E98=0),G98=3,F98=0),J98,"")</f>
      </c>
      <c r="AM98" s="111">
        <f>IF(AND(OR(E98=2,E98=0),G98=1,F98=1),J98,"")</f>
      </c>
      <c r="AN98" s="111">
        <f>IF(AND(OR(E98=2,E98=0),G98=2,F98=1),J98,"")</f>
      </c>
      <c r="AO98" s="111">
        <f>IF(AND(OR(E98=2,E98=0),G98=3,F98=1),J98,"")</f>
      </c>
      <c r="AP98" s="111">
        <f>IF(AND(OR(E98=3,E98=0),G98=1,F98=0),J98,"")</f>
      </c>
      <c r="AQ98" s="111">
        <f>IF(AND(OR(E98=3,E98=0),G98=2,F98=0),J98,"")</f>
      </c>
      <c r="AR98" s="111">
        <f>IF(AND(OR(E98=3,E98=0),G98=3,F98=0),J98,"")</f>
      </c>
      <c r="AS98" s="111">
        <f>IF(AND(OR(E98=3,E98=0),G98=1,F98=1),J98,"")</f>
      </c>
      <c r="AT98" s="111">
        <f>IF(AND(OR(E98=3,E98=0),G98=2,F98=1),J98,"")</f>
      </c>
      <c r="AU98" s="111">
        <f>IF(AND(OR(E98=3,E98=0),G98=3,F98=1),J98,"")</f>
      </c>
    </row>
    <row customHeight="true" ht="19" r="99">
      <c r="A99" s="86" t="str">
        <v>いつか、きっと花開く（sr黄睡）</v>
      </c>
      <c r="B99" s="86" t="str"/>
      <c r="C99" s="86" t="str"/>
      <c r="D99" s="116">
        <f>'持有情况'!BE4-ROW()*0.00001</f>
      </c>
      <c r="E99" s="117">
        <v>0</v>
      </c>
      <c r="F99" s="117">
        <v>0</v>
      </c>
      <c r="G99" s="116">
        <v>3</v>
      </c>
      <c r="H99" s="117">
        <v>0</v>
      </c>
      <c r="I99" s="1" t="str"/>
      <c r="J99" s="116">
        <f>INT(45+17*'路线'!B32+3*('路线'!B28+'路线'!B29)+30)-ROW()*0.00001</f>
      </c>
      <c r="K99" s="1" t="str"/>
      <c r="L99" s="111">
        <f>IF(AND(OR(E99=1,E99=0),G99=1),D99,"")</f>
      </c>
      <c r="M99" s="111">
        <f>IF(AND(OR(E99=2,E99=0),G99=1),D99,"")</f>
      </c>
      <c r="N99" s="111">
        <f>IF(AND(OR(E99=3,E99=0),G99=1),D99,"")</f>
      </c>
      <c r="O99" s="111">
        <f>IF(AND(OR(E99=1,E99=0),G99=2),D99,"")</f>
      </c>
      <c r="P99" s="111">
        <f>IF(AND(OR(E99=2,E99=0),G99=2),D99,"")</f>
      </c>
      <c r="Q99" s="111">
        <f>IF(AND(OR(E99=3,E99=0),G99=2),D99,"")</f>
      </c>
      <c r="R99" s="111">
        <f>IF(AND(OR(E99=1,E99=0),G99=3),D99,"")</f>
      </c>
      <c r="S99" s="111">
        <f>IF(AND(OR(E99=2,E99=0),G99=3),D99,"")</f>
      </c>
      <c r="T99" s="111">
        <f>IF(AND(OR(E99=3,E99=0),G99=3),D99,"")</f>
      </c>
      <c r="U99" s="111">
        <f>IF(AND(OR(E99=1,E99=0),G99=1,F99=1),D99,"")</f>
      </c>
      <c r="V99" s="111">
        <f>IF(AND(OR(E99=1,E99=0),G99=2,F99=1),D99,"")</f>
      </c>
      <c r="W99" s="111">
        <f>IF(AND(OR(E99=1,E99=0),G99=3,F99=1),D99,"")</f>
      </c>
      <c r="X99" s="111">
        <f>IF(AND(OR(E99=2,E99=0),G99=1,F99=1),D99,"")</f>
      </c>
      <c r="Y99" s="111">
        <f>IF(AND(OR(E99=2,E99=0),G99=2,F99=1),D99,"")</f>
      </c>
      <c r="Z99" s="111">
        <f>IF(AND(OR(E99=2,E99=0),G99=3,F99=1),D99,"")</f>
      </c>
      <c r="AA99" s="111">
        <f>IF(AND(OR(E99=3,E99=0),G99=1,F99=1),D99,"")</f>
      </c>
      <c r="AB99" s="111">
        <f>IF(AND(OR(E99=3,E99=0),G99=2,F99=1),D99,"")</f>
      </c>
      <c r="AC99" s="111">
        <f>IF(AND(OR(E99=3,E99=0),G99=3,F99=1),D99,"")</f>
      </c>
      <c r="AD99" s="111">
        <f>IF(AND(OR(E99=1,E99=0),G99=1,F99=0),J99,"")</f>
      </c>
      <c r="AE99" s="111">
        <f>IF(AND(OR(E99=1,E99=0),G99=2,F99=0),J99,"")</f>
      </c>
      <c r="AF99" s="111">
        <f>IF(AND(OR(E99=1,E99=0),G99=3,F99=0),J99,"")</f>
      </c>
      <c r="AG99" s="111">
        <f>IF(AND(OR(E99=1,E99=0),G99=1,F99=1),J99,"")</f>
      </c>
      <c r="AH99" s="111">
        <f>IF(AND(OR(E99=1,E99=0),G99=2,F99=1),J99,"")</f>
      </c>
      <c r="AI99" s="111">
        <f>IF(AND(OR(E99=1,E99=0),G99=3,F99=1),J99,"")</f>
      </c>
      <c r="AJ99" s="111">
        <f>IF(AND(OR(E99=2,E99=0),G99=1,F99=0),J99,"")</f>
      </c>
      <c r="AK99" s="111">
        <f>IF(AND(OR(E99=2,E99=0),G99=2,F99=0),J99,"")</f>
      </c>
      <c r="AL99" s="111">
        <f>IF(AND(OR(E99=2,E99=0),G99=3,F99=0),J99,"")</f>
      </c>
      <c r="AM99" s="111">
        <f>IF(AND(OR(E99=2,E99=0),G99=1,F99=1),J99,"")</f>
      </c>
      <c r="AN99" s="111">
        <f>IF(AND(OR(E99=2,E99=0),G99=2,F99=1),J99,"")</f>
      </c>
      <c r="AO99" s="111">
        <f>IF(AND(OR(E99=2,E99=0),G99=3,F99=1),J99,"")</f>
      </c>
      <c r="AP99" s="111">
        <f>IF(AND(OR(E99=3,E99=0),G99=1,F99=0),J99,"")</f>
      </c>
      <c r="AQ99" s="111">
        <f>IF(AND(OR(E99=3,E99=0),G99=2,F99=0),J99,"")</f>
      </c>
      <c r="AR99" s="111">
        <f>IF(AND(OR(E99=3,E99=0),G99=3,F99=0),J99,"")</f>
      </c>
      <c r="AS99" s="111">
        <f>IF(AND(OR(E99=3,E99=0),G99=1,F99=1),J99,"")</f>
      </c>
      <c r="AT99" s="111">
        <f>IF(AND(OR(E99=3,E99=0),G99=2,F99=1),J99,"")</f>
      </c>
      <c r="AU99" s="111">
        <f>IF(AND(OR(E99=3,E99=0),G99=3,F99=1),J99,"")</f>
      </c>
    </row>
    <row customHeight="true" ht="19" r="100">
      <c r="A100" s="99" t="str">
        <v>目指すはテッペン（蓝老师）</v>
      </c>
      <c r="B100" s="99" t="str"/>
      <c r="C100" s="99" t="str"/>
      <c r="D100" s="116">
        <f>'持有情况'!AU88-ROW()*0.00001</f>
      </c>
      <c r="E100" s="117">
        <v>0</v>
      </c>
      <c r="F100" s="116">
        <v>1</v>
      </c>
      <c r="G100" s="116">
        <v>2</v>
      </c>
      <c r="H100" s="117">
        <v>0</v>
      </c>
      <c r="I100" s="1" t="str"/>
      <c r="J100" s="116">
        <f>INT(45+8*'路线'!B33+30)-ROW()*0.00001</f>
      </c>
      <c r="K100" s="1" t="str"/>
      <c r="L100" s="111">
        <f>IF(AND(OR(E100=1,E100=0),G100=1),D100,"")</f>
      </c>
      <c r="M100" s="111">
        <f>IF(AND(OR(E100=2,E100=0),G100=1),D100,"")</f>
      </c>
      <c r="N100" s="111">
        <f>IF(AND(OR(E100=3,E100=0),G100=1),D100,"")</f>
      </c>
      <c r="O100" s="111">
        <f>IF(AND(OR(E100=1,E100=0),G100=2),D100,"")</f>
      </c>
      <c r="P100" s="111">
        <f>IF(AND(OR(E100=2,E100=0),G100=2),D100,"")</f>
      </c>
      <c r="Q100" s="111">
        <f>IF(AND(OR(E100=3,E100=0),G100=2),D100,"")</f>
      </c>
      <c r="R100" s="111">
        <f>IF(AND(OR(E100=1,E100=0),G100=3),D100,"")</f>
      </c>
      <c r="S100" s="111">
        <f>IF(AND(OR(E100=2,E100=0),G100=3),D100,"")</f>
      </c>
      <c r="T100" s="111">
        <f>IF(AND(OR(E100=3,E100=0),G100=3),D100,"")</f>
      </c>
      <c r="U100" s="111">
        <f>IF(AND(OR(E100=1,E100=0),G100=1,F100=1),D100,"")</f>
      </c>
      <c r="V100" s="111">
        <f>IF(AND(OR(E100=1,E100=0),G100=2,F100=1),D100,"")</f>
      </c>
      <c r="W100" s="111">
        <f>IF(AND(OR(E100=1,E100=0),G100=3,F100=1),D100,"")</f>
      </c>
      <c r="X100" s="111">
        <f>IF(AND(OR(E100=2,E100=0),G100=1,F100=1),D100,"")</f>
      </c>
      <c r="Y100" s="111">
        <f>IF(AND(OR(E100=2,E100=0),G100=2,F100=1),D100,"")</f>
      </c>
      <c r="Z100" s="111">
        <f>IF(AND(OR(E100=2,E100=0),G100=3,F100=1),D100,"")</f>
      </c>
      <c r="AA100" s="111">
        <f>IF(AND(OR(E100=3,E100=0),G100=1,F100=1),D100,"")</f>
      </c>
      <c r="AB100" s="111">
        <f>IF(AND(OR(E100=3,E100=0),G100=2,F100=1),D100,"")</f>
      </c>
      <c r="AC100" s="111">
        <f>IF(AND(OR(E100=3,E100=0),G100=3,F100=1),D100,"")</f>
      </c>
      <c r="AD100" s="111">
        <f>IF(AND(OR(E100=1,E100=0),G100=1,F100=0),J100,"")</f>
      </c>
      <c r="AE100" s="111">
        <f>IF(AND(OR(E100=1,E100=0),G100=2,F100=0),J100,"")</f>
      </c>
      <c r="AF100" s="111">
        <f>IF(AND(OR(E100=1,E100=0),G100=3,F100=0),J100,"")</f>
      </c>
      <c r="AG100" s="111">
        <f>IF(AND(OR(E100=1,E100=0),G100=1,F100=1),J100,"")</f>
      </c>
      <c r="AH100" s="111">
        <f>IF(AND(OR(E100=1,E100=0),G100=2,F100=1),J100,"")</f>
      </c>
      <c r="AI100" s="111">
        <f>IF(AND(OR(E100=1,E100=0),G100=3,F100=1),J100,"")</f>
      </c>
      <c r="AJ100" s="111">
        <f>IF(AND(OR(E100=2,E100=0),G100=1,F100=0),J100,"")</f>
      </c>
      <c r="AK100" s="111">
        <f>IF(AND(OR(E100=2,E100=0),G100=2,F100=0),J100,"")</f>
      </c>
      <c r="AL100" s="111">
        <f>IF(AND(OR(E100=2,E100=0),G100=3,F100=0),J100,"")</f>
      </c>
      <c r="AM100" s="111">
        <f>IF(AND(OR(E100=2,E100=0),G100=1,F100=1),J100,"")</f>
      </c>
      <c r="AN100" s="111">
        <f>IF(AND(OR(E100=2,E100=0),G100=2,F100=1),J100,"")</f>
      </c>
      <c r="AO100" s="111">
        <f>IF(AND(OR(E100=2,E100=0),G100=3,F100=1),J100,"")</f>
      </c>
      <c r="AP100" s="111">
        <f>IF(AND(OR(E100=3,E100=0),G100=1,F100=0),J100,"")</f>
      </c>
      <c r="AQ100" s="111">
        <f>IF(AND(OR(E100=3,E100=0),G100=2,F100=0),J100,"")</f>
      </c>
      <c r="AR100" s="111">
        <f>IF(AND(OR(E100=3,E100=0),G100=3,F100=0),J100,"")</f>
      </c>
      <c r="AS100" s="111">
        <f>IF(AND(OR(E100=3,E100=0),G100=1,F100=1),J100,"")</f>
      </c>
      <c r="AT100" s="111">
        <f>IF(AND(OR(E100=3,E100=0),G100=2,F100=1),J100,"")</f>
      </c>
      <c r="AU100" s="111">
        <f>IF(AND(OR(E100=3,E100=0),G100=3,F100=1),J100,"")</f>
      </c>
    </row>
    <row customHeight="true" ht="19" r="101">
      <c r="A101" s="86" t="str">
        <v>ひとりごとです（汤达人）</v>
      </c>
      <c r="B101" s="86" t="str"/>
      <c r="C101" s="86" t="str"/>
      <c r="D101" s="116">
        <f>'持有情况'!AA112-ROW()*0.00001</f>
      </c>
      <c r="E101" s="116">
        <v>3</v>
      </c>
      <c r="F101" s="117">
        <v>0</v>
      </c>
      <c r="G101" s="116">
        <v>3</v>
      </c>
      <c r="H101" s="117">
        <v>0</v>
      </c>
      <c r="I101" s="1" t="str"/>
      <c r="J101" s="116">
        <f>IF('路线'!C6="计算",INT(60+21*IF('路线'!B38&lt;=3,'路线'!B38,3)+17*'路线'!B18+22*IF('路线'!B37&lt;=3,'路线'!B37,3)+40+40),INT(60+21*IF('路线'!B38&lt;=3,'路线'!B38,3)+17*'路线'!B18+22*IF('路线'!B37&lt;=3,'路线'!B37,3)+40))-ROW()*0.00001</f>
      </c>
      <c r="K101" s="1" t="str"/>
      <c r="L101" s="111">
        <f>IF(AND(OR(E101=1,E101=0),G101=1),D101,"")</f>
      </c>
      <c r="M101" s="111">
        <f>IF(AND(OR(E101=2,E101=0),G101=1),D101,"")</f>
      </c>
      <c r="N101" s="111">
        <f>IF(AND(OR(E101=3,E101=0),G101=1),D101,"")</f>
      </c>
      <c r="O101" s="111">
        <f>IF(AND(OR(E101=1,E101=0),G101=2),D101,"")</f>
      </c>
      <c r="P101" s="111">
        <f>IF(AND(OR(E101=2,E101=0),G101=2),D101,"")</f>
      </c>
      <c r="Q101" s="111">
        <f>IF(AND(OR(E101=3,E101=0),G101=2),D101,"")</f>
      </c>
      <c r="R101" s="111">
        <f>IF(AND(OR(E101=1,E101=0),G101=3),D101,"")</f>
      </c>
      <c r="S101" s="111">
        <f>IF(AND(OR(E101=2,E101=0),G101=3),D101,"")</f>
      </c>
      <c r="T101" s="111">
        <f>IF(AND(OR(E101=3,E101=0),G101=3),D101,"")</f>
      </c>
      <c r="U101" s="111">
        <f>IF(AND(OR(E101=1,E101=0),G101=1,F101=1),D101,"")</f>
      </c>
      <c r="V101" s="111">
        <f>IF(AND(OR(E101=1,E101=0),G101=2,F101=1),D101,"")</f>
      </c>
      <c r="W101" s="111">
        <f>IF(AND(OR(E101=1,E101=0),G101=3,F101=1),D101,"")</f>
      </c>
      <c r="X101" s="111">
        <f>IF(AND(OR(E101=2,E101=0),G101=1,F101=1),D101,"")</f>
      </c>
      <c r="Y101" s="111">
        <f>IF(AND(OR(E101=2,E101=0),G101=2,F101=1),D101,"")</f>
      </c>
      <c r="Z101" s="111">
        <f>IF(AND(OR(E101=2,E101=0),G101=3,F101=1),D101,"")</f>
      </c>
      <c r="AA101" s="111">
        <f>IF(AND(OR(E101=3,E101=0),G101=1,F101=1),D101,"")</f>
      </c>
      <c r="AB101" s="111">
        <f>IF(AND(OR(E101=3,E101=0),G101=2,F101=1),D101,"")</f>
      </c>
      <c r="AC101" s="111">
        <f>IF(AND(OR(E101=3,E101=0),G101=3,F101=1),D101,"")</f>
      </c>
      <c r="AD101" s="111">
        <f>IF(AND(OR(E101=1,E101=0),G101=1,F101=0),J101,"")</f>
      </c>
      <c r="AE101" s="111">
        <f>IF(AND(OR(E101=1,E101=0),G101=2,F101=0),J101,"")</f>
      </c>
      <c r="AF101" s="111">
        <f>IF(AND(OR(E101=1,E101=0),G101=3,F101=0),J101,"")</f>
      </c>
      <c r="AG101" s="111">
        <f>IF(AND(OR(E101=1,E101=0),G101=1,F101=1),J101,"")</f>
      </c>
      <c r="AH101" s="111">
        <f>IF(AND(OR(E101=1,E101=0),G101=2,F101=1),J101,"")</f>
      </c>
      <c r="AI101" s="111">
        <f>IF(AND(OR(E101=1,E101=0),G101=3,F101=1),J101,"")</f>
      </c>
      <c r="AJ101" s="111">
        <f>IF(AND(OR(E101=2,E101=0),G101=1,F101=0),J101,"")</f>
      </c>
      <c r="AK101" s="111">
        <f>IF(AND(OR(E101=2,E101=0),G101=2,F101=0),J101,"")</f>
      </c>
      <c r="AL101" s="111">
        <f>IF(AND(OR(E101=2,E101=0),G101=3,F101=0),J101,"")</f>
      </c>
      <c r="AM101" s="111">
        <f>IF(AND(OR(E101=2,E101=0),G101=1,F101=1),J101,"")</f>
      </c>
      <c r="AN101" s="111">
        <f>IF(AND(OR(E101=2,E101=0),G101=2,F101=1),J101,"")</f>
      </c>
      <c r="AO101" s="111">
        <f>IF(AND(OR(E101=2,E101=0),G101=3,F101=1),J101,"")</f>
      </c>
      <c r="AP101" s="111">
        <f>IF(AND(OR(E101=3,E101=0),G101=1,F101=0),J101,"")</f>
      </c>
      <c r="AQ101" s="111">
        <f>IF(AND(OR(E101=3,E101=0),G101=2,F101=0),J101,"")</f>
      </c>
      <c r="AR101" s="111">
        <f>IF(AND(OR(E101=3,E101=0),G101=3,F101=0),J101,"")</f>
      </c>
      <c r="AS101" s="111">
        <f>IF(AND(OR(E101=3,E101=0),G101=1,F101=1),J101,"")</f>
      </c>
      <c r="AT101" s="111">
        <f>IF(AND(OR(E101=3,E101=0),G101=2,F101=1),J101,"")</f>
      </c>
      <c r="AU101" s="111">
        <f>IF(AND(OR(E101=3,E101=0),G101=3,F101=1),J101,"")</f>
      </c>
    </row>
    <row customHeight="true" ht="19" r="102">
      <c r="A102" s="86" t="str">
        <v>主菓子、甘い、薄茶、渋み（茶道）</v>
      </c>
      <c r="B102" s="86" t="str"/>
      <c r="C102" s="86" t="str"/>
      <c r="D102" s="116">
        <f>'持有情况'!BE88-ROW()*0.00001</f>
      </c>
      <c r="E102" s="116">
        <v>3</v>
      </c>
      <c r="F102" s="116">
        <v>1</v>
      </c>
      <c r="G102" s="116">
        <v>3</v>
      </c>
      <c r="H102" s="117">
        <v>0</v>
      </c>
      <c r="I102" s="1" t="str"/>
      <c r="J102" s="116">
        <f>INT(45+17+13*'路线'!B18+30)-ROW()*0.00001</f>
      </c>
      <c r="K102" s="1" t="str"/>
      <c r="L102" s="111">
        <f>IF(AND(OR(E102=1,E102=0),G102=1),D102,"")</f>
      </c>
      <c r="M102" s="111">
        <f>IF(AND(OR(E102=2,E102=0),G102=1),D102,"")</f>
      </c>
      <c r="N102" s="111">
        <f>IF(AND(OR(E102=3,E102=0),G102=1),D102,"")</f>
      </c>
      <c r="O102" s="111">
        <f>IF(AND(OR(E102=1,E102=0),G102=2),D102,"")</f>
      </c>
      <c r="P102" s="111">
        <f>IF(AND(OR(E102=2,E102=0),G102=2),D102,"")</f>
      </c>
      <c r="Q102" s="111">
        <f>IF(AND(OR(E102=3,E102=0),G102=2),D102,"")</f>
      </c>
      <c r="R102" s="111">
        <f>IF(AND(OR(E102=1,E102=0),G102=3),D102,"")</f>
      </c>
      <c r="S102" s="111">
        <f>IF(AND(OR(E102=2,E102=0),G102=3),D102,"")</f>
      </c>
      <c r="T102" s="111">
        <f>IF(AND(OR(E102=3,E102=0),G102=3),D102,"")</f>
      </c>
      <c r="U102" s="111">
        <f>IF(AND(OR(E102=1,E102=0),G102=1,F102=1),D102,"")</f>
      </c>
      <c r="V102" s="111">
        <f>IF(AND(OR(E102=1,E102=0),G102=2,F102=1),D102,"")</f>
      </c>
      <c r="W102" s="111">
        <f>IF(AND(OR(E102=1,E102=0),G102=3,F102=1),D102,"")</f>
      </c>
      <c r="X102" s="111">
        <f>IF(AND(OR(E102=2,E102=0),G102=1,F102=1),D102,"")</f>
      </c>
      <c r="Y102" s="111">
        <f>IF(AND(OR(E102=2,E102=0),G102=2,F102=1),D102,"")</f>
      </c>
      <c r="Z102" s="111">
        <f>IF(AND(OR(E102=2,E102=0),G102=3,F102=1),D102,"")</f>
      </c>
      <c r="AA102" s="111">
        <f>IF(AND(OR(E102=3,E102=0),G102=1,F102=1),D102,"")</f>
      </c>
      <c r="AB102" s="111">
        <f>IF(AND(OR(E102=3,E102=0),G102=2,F102=1),D102,"")</f>
      </c>
      <c r="AC102" s="111">
        <f>IF(AND(OR(E102=3,E102=0),G102=3,F102=1),D102,"")</f>
      </c>
      <c r="AD102" s="111">
        <f>IF(AND(OR(E102=1,E102=0),G102=1,F102=0),J102,"")</f>
      </c>
      <c r="AE102" s="111">
        <f>IF(AND(OR(E102=1,E102=0),G102=2,F102=0),J102,"")</f>
      </c>
      <c r="AF102" s="111">
        <f>IF(AND(OR(E102=1,E102=0),G102=3,F102=0),J102,"")</f>
      </c>
      <c r="AG102" s="111">
        <f>IF(AND(OR(E102=1,E102=0),G102=1,F102=1),J102,"")</f>
      </c>
      <c r="AH102" s="111">
        <f>IF(AND(OR(E102=1,E102=0),G102=2,F102=1),J102,"")</f>
      </c>
      <c r="AI102" s="111">
        <f>IF(AND(OR(E102=1,E102=0),G102=3,F102=1),J102,"")</f>
      </c>
      <c r="AJ102" s="111">
        <f>IF(AND(OR(E102=2,E102=0),G102=1,F102=0),J102,"")</f>
      </c>
      <c r="AK102" s="111">
        <f>IF(AND(OR(E102=2,E102=0),G102=2,F102=0),J102,"")</f>
      </c>
      <c r="AL102" s="111">
        <f>IF(AND(OR(E102=2,E102=0),G102=3,F102=0),J102,"")</f>
      </c>
      <c r="AM102" s="111">
        <f>IF(AND(OR(E102=2,E102=0),G102=1,F102=1),J102,"")</f>
      </c>
      <c r="AN102" s="111">
        <f>IF(AND(OR(E102=2,E102=0),G102=2,F102=1),J102,"")</f>
      </c>
      <c r="AO102" s="111">
        <f>IF(AND(OR(E102=2,E102=0),G102=3,F102=1),J102,"")</f>
      </c>
      <c r="AP102" s="111">
        <f>IF(AND(OR(E102=3,E102=0),G102=1,F102=0),J102,"")</f>
      </c>
      <c r="AQ102" s="111">
        <f>IF(AND(OR(E102=3,E102=0),G102=2,F102=0),J102,"")</f>
      </c>
      <c r="AR102" s="111">
        <f>IF(AND(OR(E102=3,E102=0),G102=3,F102=0),J102,"")</f>
      </c>
      <c r="AS102" s="111">
        <f>IF(AND(OR(E102=3,E102=0),G102=1,F102=1),J102,"")</f>
      </c>
      <c r="AT102" s="111">
        <f>IF(AND(OR(E102=3,E102=0),G102=2,F102=1),J102,"")</f>
      </c>
      <c r="AU102" s="111">
        <f>IF(AND(OR(E102=3,E102=0),G102=3,F102=1),J102,"")</f>
      </c>
    </row>
    <row customHeight="true" ht="19" r="103">
      <c r="A103" s="86" t="str">
        <v>わたしと美鈴、超仲良し（运动会）</v>
      </c>
      <c r="B103" s="86" t="str"/>
      <c r="C103" s="86" t="str"/>
      <c r="D103" s="116">
        <f>'持有情况'!AA118-ROW()*0.00001</f>
      </c>
      <c r="E103" s="117">
        <v>0</v>
      </c>
      <c r="F103" s="117">
        <v>0</v>
      </c>
      <c r="G103" s="116">
        <v>3</v>
      </c>
      <c r="H103" s="116">
        <v>1</v>
      </c>
      <c r="I103" s="111" t="str">
        <v>运动会</v>
      </c>
      <c r="J103" s="116">
        <f>INT((8.5/100)*'路线'!B12+2*'路线'!B23+13*'路线'!B18+40)-ROW()*0.00001</f>
      </c>
      <c r="K103" s="1" t="str"/>
      <c r="L103" s="111">
        <f>IF(AND(OR(E103=1,E103=0),G103=1),D103,"")</f>
      </c>
      <c r="M103" s="111">
        <f>IF(AND(OR(E103=2,E103=0),G103=1),D103,"")</f>
      </c>
      <c r="N103" s="111">
        <f>IF(AND(OR(E103=3,E103=0),G103=1),D103,"")</f>
      </c>
      <c r="O103" s="111">
        <f>IF(AND(OR(E103=1,E103=0),G103=2),D103,"")</f>
      </c>
      <c r="P103" s="111">
        <f>IF(AND(OR(E103=2,E103=0),G103=2),D103,"")</f>
      </c>
      <c r="Q103" s="111">
        <f>IF(AND(OR(E103=3,E103=0),G103=2),D103,"")</f>
      </c>
      <c r="R103" s="111">
        <f>IF(AND(OR(E103=1,E103=0),G103=3),D103,"")</f>
      </c>
      <c r="S103" s="111">
        <f>IF(AND(OR(E103=2,E103=0),G103=3),D103,"")</f>
      </c>
      <c r="T103" s="111">
        <f>IF(AND(OR(E103=3,E103=0),G103=3),D103,"")</f>
      </c>
      <c r="U103" s="111">
        <f>IF(AND(OR(E103=1,E103=0),G103=1,F103=1),D103,"")</f>
      </c>
      <c r="V103" s="111">
        <f>IF(AND(OR(E103=1,E103=0),G103=2,F103=1),D103,"")</f>
      </c>
      <c r="W103" s="111">
        <f>IF(AND(OR(E103=1,E103=0),G103=3,F103=1),D103,"")</f>
      </c>
      <c r="X103" s="111">
        <f>IF(AND(OR(E103=2,E103=0),G103=1,F103=1),D103,"")</f>
      </c>
      <c r="Y103" s="111">
        <f>IF(AND(OR(E103=2,E103=0),G103=2,F103=1),D103,"")</f>
      </c>
      <c r="Z103" s="111">
        <f>IF(AND(OR(E103=2,E103=0),G103=3,F103=1),D103,"")</f>
      </c>
      <c r="AA103" s="111">
        <f>IF(AND(OR(E103=3,E103=0),G103=1,F103=1),D103,"")</f>
      </c>
      <c r="AB103" s="111">
        <f>IF(AND(OR(E103=3,E103=0),G103=2,F103=1),D103,"")</f>
      </c>
      <c r="AC103" s="111">
        <f>IF(AND(OR(E103=3,E103=0),G103=3,F103=1),D103,"")</f>
      </c>
      <c r="AD103" s="111">
        <f>IF(AND(OR(E103=1,E103=0),G103=1,F103=0),J103,"")</f>
      </c>
      <c r="AE103" s="111">
        <f>IF(AND(OR(E103=1,E103=0),G103=2,F103=0),J103,"")</f>
      </c>
      <c r="AF103" s="111">
        <f>IF(AND(OR(E103=1,E103=0),G103=3,F103=0),J103,"")</f>
      </c>
      <c r="AG103" s="111">
        <f>IF(AND(OR(E103=1,E103=0),G103=1,F103=1),J103,"")</f>
      </c>
      <c r="AH103" s="111">
        <f>IF(AND(OR(E103=1,E103=0),G103=2,F103=1),J103,"")</f>
      </c>
      <c r="AI103" s="111">
        <f>IF(AND(OR(E103=1,E103=0),G103=3,F103=1),J103,"")</f>
      </c>
      <c r="AJ103" s="111">
        <f>IF(AND(OR(E103=2,E103=0),G103=1,F103=0),J103,"")</f>
      </c>
      <c r="AK103" s="111">
        <f>IF(AND(OR(E103=2,E103=0),G103=2,F103=0),J103,"")</f>
      </c>
      <c r="AL103" s="111">
        <f>IF(AND(OR(E103=2,E103=0),G103=3,F103=0),J103,"")</f>
      </c>
      <c r="AM103" s="111">
        <f>IF(AND(OR(E103=2,E103=0),G103=1,F103=1),J103,"")</f>
      </c>
      <c r="AN103" s="111">
        <f>IF(AND(OR(E103=2,E103=0),G103=2,F103=1),J103,"")</f>
      </c>
      <c r="AO103" s="111">
        <f>IF(AND(OR(E103=2,E103=0),G103=3,F103=1),J103,"")</f>
      </c>
      <c r="AP103" s="111">
        <f>IF(AND(OR(E103=3,E103=0),G103=1,F103=0),J103,"")</f>
      </c>
      <c r="AQ103" s="111">
        <f>IF(AND(OR(E103=3,E103=0),G103=2,F103=0),J103,"")</f>
      </c>
      <c r="AR103" s="111">
        <f>IF(AND(OR(E103=3,E103=0),G103=3,F103=0),J103,"")</f>
      </c>
      <c r="AS103" s="111">
        <f>IF(AND(OR(E103=3,E103=0),G103=1,F103=1),J103,"")</f>
      </c>
      <c r="AT103" s="111">
        <f>IF(AND(OR(E103=3,E103=0),G103=2,F103=1),J103,"")</f>
      </c>
      <c r="AU103" s="111">
        <f>IF(AND(OR(E103=3,E103=0),G103=3,F103=1),J103,"")</f>
      </c>
    </row>
    <row customHeight="true" ht="19" r="104">
      <c r="A104" s="99" t="str">
        <v>よくやったな、倉本。（台灯）</v>
      </c>
      <c r="B104" s="99" t="str"/>
      <c r="C104" s="99" t="str"/>
      <c r="D104" s="116">
        <f>'持有情况'!Q118-ROW()*0.00001</f>
      </c>
      <c r="E104" s="116">
        <v>3</v>
      </c>
      <c r="F104" s="116">
        <v>1</v>
      </c>
      <c r="G104" s="116">
        <v>2</v>
      </c>
      <c r="H104" s="116">
        <v>1</v>
      </c>
      <c r="I104" s="111" t="str">
        <v>台灯</v>
      </c>
      <c r="J104" s="116">
        <f>INT(60+17*'路线'!B18+5*'路线'!B40+40)-ROW()*0.00001</f>
      </c>
      <c r="K104" s="1" t="str"/>
      <c r="L104" s="111">
        <f>IF(AND(OR(E104=1,E104=0),G104=1),D104,"")</f>
      </c>
      <c r="M104" s="111">
        <f>IF(AND(OR(E104=2,E104=0),G104=1),D104,"")</f>
      </c>
      <c r="N104" s="111">
        <f>IF(AND(OR(E104=3,E104=0),G104=1),D104,"")</f>
      </c>
      <c r="O104" s="111">
        <f>IF(AND(OR(E104=1,E104=0),G104=2),D104,"")</f>
      </c>
      <c r="P104" s="111">
        <f>IF(AND(OR(E104=2,E104=0),G104=2),D104,"")</f>
      </c>
      <c r="Q104" s="111">
        <f>IF(AND(OR(E104=3,E104=0),G104=2),D104,"")</f>
      </c>
      <c r="R104" s="111">
        <f>IF(AND(OR(E104=1,E104=0),G104=3),D104,"")</f>
      </c>
      <c r="S104" s="111">
        <f>IF(AND(OR(E104=2,E104=0),G104=3),D104,"")</f>
      </c>
      <c r="T104" s="111">
        <f>IF(AND(OR(E104=3,E104=0),G104=3),D104,"")</f>
      </c>
      <c r="U104" s="111">
        <f>IF(AND(OR(E104=1,E104=0),G104=1,F104=1),D104,"")</f>
      </c>
      <c r="V104" s="111">
        <f>IF(AND(OR(E104=1,E104=0),G104=2,F104=1),D104,"")</f>
      </c>
      <c r="W104" s="111">
        <f>IF(AND(OR(E104=1,E104=0),G104=3,F104=1),D104,"")</f>
      </c>
      <c r="X104" s="111">
        <f>IF(AND(OR(E104=2,E104=0),G104=1,F104=1),D104,"")</f>
      </c>
      <c r="Y104" s="111">
        <f>IF(AND(OR(E104=2,E104=0),G104=2,F104=1),D104,"")</f>
      </c>
      <c r="Z104" s="111">
        <f>IF(AND(OR(E104=2,E104=0),G104=3,F104=1),D104,"")</f>
      </c>
      <c r="AA104" s="111">
        <f>IF(AND(OR(E104=3,E104=0),G104=1,F104=1),D104,"")</f>
      </c>
      <c r="AB104" s="111">
        <f>IF(AND(OR(E104=3,E104=0),G104=2,F104=1),D104,"")</f>
      </c>
      <c r="AC104" s="111">
        <f>IF(AND(OR(E104=3,E104=0),G104=3,F104=1),D104,"")</f>
      </c>
      <c r="AD104" s="111">
        <f>IF(AND(OR(E104=1,E104=0),G104=1,F104=0),J104,"")</f>
      </c>
      <c r="AE104" s="111">
        <f>IF(AND(OR(E104=1,E104=0),G104=2,F104=0),J104,"")</f>
      </c>
      <c r="AF104" s="111">
        <f>IF(AND(OR(E104=1,E104=0),G104=3,F104=0),J104,"")</f>
      </c>
      <c r="AG104" s="111">
        <f>IF(AND(OR(E104=1,E104=0),G104=1,F104=1),J104,"")</f>
      </c>
      <c r="AH104" s="111">
        <f>IF(AND(OR(E104=1,E104=0),G104=2,F104=1),J104,"")</f>
      </c>
      <c r="AI104" s="111">
        <f>IF(AND(OR(E104=1,E104=0),G104=3,F104=1),J104,"")</f>
      </c>
      <c r="AJ104" s="111">
        <f>IF(AND(OR(E104=2,E104=0),G104=1,F104=0),J104,"")</f>
      </c>
      <c r="AK104" s="111">
        <f>IF(AND(OR(E104=2,E104=0),G104=2,F104=0),J104,"")</f>
      </c>
      <c r="AL104" s="111">
        <f>IF(AND(OR(E104=2,E104=0),G104=3,F104=0),J104,"")</f>
      </c>
      <c r="AM104" s="111">
        <f>IF(AND(OR(E104=2,E104=0),G104=1,F104=1),J104,"")</f>
      </c>
      <c r="AN104" s="111">
        <f>IF(AND(OR(E104=2,E104=0),G104=2,F104=1),J104,"")</f>
      </c>
      <c r="AO104" s="111">
        <f>IF(AND(OR(E104=2,E104=0),G104=3,F104=1),J104,"")</f>
      </c>
      <c r="AP104" s="111">
        <f>IF(AND(OR(E104=3,E104=0),G104=1,F104=0),J104,"")</f>
      </c>
      <c r="AQ104" s="111">
        <f>IF(AND(OR(E104=3,E104=0),G104=2,F104=0),J104,"")</f>
      </c>
      <c r="AR104" s="111">
        <f>IF(AND(OR(E104=3,E104=0),G104=3,F104=0),J104,"")</f>
      </c>
      <c r="AS104" s="111">
        <f>IF(AND(OR(E104=3,E104=0),G104=1,F104=1),J104,"")</f>
      </c>
      <c r="AT104" s="111">
        <f>IF(AND(OR(E104=3,E104=0),G104=2,F104=1),J104,"")</f>
      </c>
      <c r="AU104" s="111">
        <f>IF(AND(OR(E104=3,E104=0),G104=3,F104=1),J104,"")</f>
      </c>
    </row>
    <row customHeight="true" ht="19" r="105">
      <c r="A105" s="99" t="str">
        <v>あん・どぅ・とろわっ！（伸缩带）</v>
      </c>
      <c r="B105" s="99" t="str"/>
      <c r="C105" s="99" t="str"/>
      <c r="D105" s="116">
        <f>IF('路线'!B4="计算",'持有情况'!AW107,'持有情况'!AU106)-ROW()*0.00001</f>
      </c>
      <c r="E105" s="116">
        <v>3</v>
      </c>
      <c r="F105" s="116">
        <v>1</v>
      </c>
      <c r="G105" s="116">
        <v>2</v>
      </c>
      <c r="H105" s="117">
        <v>0</v>
      </c>
      <c r="I105" s="1" t="str"/>
      <c r="J105" s="116">
        <f>IF('路线'!B4="计算",INT(45+3*('路线'!B28+'路线'!B29)+13*'路线'!B18+30+'持有情况'!AW105),INT(45+3*('路线'!B28+'路线'!B29)+13*'路线'!B18+30))-ROW()*0.00001</f>
      </c>
      <c r="K105" s="1" t="str"/>
      <c r="L105" s="111">
        <f>IF(AND(OR(E105=1,E105=0),G105=1),D105,"")</f>
      </c>
      <c r="M105" s="111">
        <f>IF(AND(OR(E105=2,E105=0),G105=1),D105,"")</f>
      </c>
      <c r="N105" s="111">
        <f>IF(AND(OR(E105=3,E105=0),G105=1),D105,"")</f>
      </c>
      <c r="O105" s="111">
        <f>IF(AND(OR(E105=1,E105=0),G105=2),D105,"")</f>
      </c>
      <c r="P105" s="111">
        <f>IF(AND(OR(E105=2,E105=0),G105=2),D105,"")</f>
      </c>
      <c r="Q105" s="111">
        <f>IF(AND(OR(E105=3,E105=0),G105=2),D105,"")</f>
      </c>
      <c r="R105" s="111">
        <f>IF(AND(OR(E105=1,E105=0),G105=3),D105,"")</f>
      </c>
      <c r="S105" s="111">
        <f>IF(AND(OR(E105=2,E105=0),G105=3),D105,"")</f>
      </c>
      <c r="T105" s="111">
        <f>IF(AND(OR(E105=3,E105=0),G105=3),D105,"")</f>
      </c>
      <c r="U105" s="111">
        <f>IF(AND(OR(E105=1,E105=0),G105=1,F105=1),D105,"")</f>
      </c>
      <c r="V105" s="111">
        <f>IF(AND(OR(E105=1,E105=0),G105=2,F105=1),D105,"")</f>
      </c>
      <c r="W105" s="111">
        <f>IF(AND(OR(E105=1,E105=0),G105=3,F105=1),D105,"")</f>
      </c>
      <c r="X105" s="111">
        <f>IF(AND(OR(E105=2,E105=0),G105=1,F105=1),D105,"")</f>
      </c>
      <c r="Y105" s="111">
        <f>IF(AND(OR(E105=2,E105=0),G105=2,F105=1),D105,"")</f>
      </c>
      <c r="Z105" s="111">
        <f>IF(AND(OR(E105=2,E105=0),G105=3,F105=1),D105,"")</f>
      </c>
      <c r="AA105" s="111">
        <f>IF(AND(OR(E105=3,E105=0),G105=1,F105=1),D105,"")</f>
      </c>
      <c r="AB105" s="111">
        <f>IF(AND(OR(E105=3,E105=0),G105=2,F105=1),D105,"")</f>
      </c>
      <c r="AC105" s="111">
        <f>IF(AND(OR(E105=3,E105=0),G105=3,F105=1),D105,"")</f>
      </c>
      <c r="AD105" s="111">
        <f>IF(AND(OR(E105=1,E105=0),G105=1,F105=0),J105,"")</f>
      </c>
      <c r="AE105" s="111">
        <f>IF(AND(OR(E105=1,E105=0),G105=2,F105=0),J105,"")</f>
      </c>
      <c r="AF105" s="111">
        <f>IF(AND(OR(E105=1,E105=0),G105=3,F105=0),J105,"")</f>
      </c>
      <c r="AG105" s="111">
        <f>IF(AND(OR(E105=1,E105=0),G105=1,F105=1),J105,"")</f>
      </c>
      <c r="AH105" s="111">
        <f>IF(AND(OR(E105=1,E105=0),G105=2,F105=1),J105,"")</f>
      </c>
      <c r="AI105" s="111">
        <f>IF(AND(OR(E105=1,E105=0),G105=3,F105=1),J105,"")</f>
      </c>
      <c r="AJ105" s="111">
        <f>IF(AND(OR(E105=2,E105=0),G105=1,F105=0),J105,"")</f>
      </c>
      <c r="AK105" s="111">
        <f>IF(AND(OR(E105=2,E105=0),G105=2,F105=0),J105,"")</f>
      </c>
      <c r="AL105" s="111">
        <f>IF(AND(OR(E105=2,E105=0),G105=3,F105=0),J105,"")</f>
      </c>
      <c r="AM105" s="111">
        <f>IF(AND(OR(E105=2,E105=0),G105=1,F105=1),J105,"")</f>
      </c>
      <c r="AN105" s="111">
        <f>IF(AND(OR(E105=2,E105=0),G105=2,F105=1),J105,"")</f>
      </c>
      <c r="AO105" s="111">
        <f>IF(AND(OR(E105=2,E105=0),G105=3,F105=1),J105,"")</f>
      </c>
      <c r="AP105" s="111">
        <f>IF(AND(OR(E105=3,E105=0),G105=1,F105=0),J105,"")</f>
      </c>
      <c r="AQ105" s="111">
        <f>IF(AND(OR(E105=3,E105=0),G105=2,F105=0),J105,"")</f>
      </c>
      <c r="AR105" s="111">
        <f>IF(AND(OR(E105=3,E105=0),G105=3,F105=0),J105,"")</f>
      </c>
      <c r="AS105" s="111">
        <f>IF(AND(OR(E105=3,E105=0),G105=1,F105=1),J105,"")</f>
      </c>
      <c r="AT105" s="111">
        <f>IF(AND(OR(E105=3,E105=0),G105=2,F105=1),J105,"")</f>
      </c>
      <c r="AU105" s="111">
        <f>IF(AND(OR(E105=3,E105=0),G105=3,F105=1),J105,"")</f>
      </c>
    </row>
    <row r="106">
      <c r="A106" s="85" t="str">
        <v>みんなの意見を聞かせて♪（发饰）</v>
      </c>
      <c r="B106" s="85"/>
      <c r="C106" s="85"/>
      <c r="D106" s="113">
        <f>'持有情况'!G106-ROW()*0.00001</f>
      </c>
      <c r="E106" s="113">
        <v>3</v>
      </c>
      <c r="F106" s="113">
        <v>1</v>
      </c>
      <c r="G106" s="113">
        <v>1</v>
      </c>
      <c r="H106" s="113">
        <v>1</v>
      </c>
      <c r="I106" s="113" t="str">
        <v>发饰</v>
      </c>
      <c r="J106" s="113">
        <f>INT(60+7*'路线'!B28+5*'路线'!B30+40)-ROW()*0.00001</f>
      </c>
      <c r="K106" s="3"/>
      <c r="L106" s="114">
        <f>IF(AND(OR(E106=1,E106=0),G106=1),D106,"")</f>
      </c>
      <c r="M106" s="114">
        <f>IF(AND(OR(E106=2,E106=0),G106=1),D106,"")</f>
      </c>
      <c r="N106" s="114">
        <f>IF(AND(OR(E106=3,E106=0),G106=1),D106,"")</f>
      </c>
      <c r="O106" s="114">
        <f>IF(AND(OR(E106=1,E106=0),G106=2),D106,"")</f>
      </c>
      <c r="P106" s="114">
        <f>IF(AND(OR(E106=2,E106=0),G106=2),D106,"")</f>
      </c>
      <c r="Q106" s="114">
        <f>IF(AND(OR(E106=3,E106=0),G106=2),D106,"")</f>
      </c>
      <c r="R106" s="114">
        <f>IF(AND(OR(E106=1,E106=0),G106=3),D106,"")</f>
      </c>
      <c r="S106" s="114">
        <f>IF(AND(OR(E106=2,E106=0),G106=3),D106,"")</f>
      </c>
      <c r="T106" s="114">
        <f>IF(AND(OR(E106=3,E106=0),G106=3),D106,"")</f>
      </c>
      <c r="U106" s="114">
        <f>IF(AND(OR(E106=1,E106=0),G106=1,F106=1),D106,"")</f>
      </c>
      <c r="V106" s="114">
        <f>IF(AND(OR(E106=1,E106=0),G106=2,F106=1),D106,"")</f>
      </c>
      <c r="W106" s="114">
        <f>IF(AND(OR(E106=1,E106=0),G106=3,F106=1),D106,"")</f>
      </c>
      <c r="X106" s="114">
        <f>IF(AND(OR(E106=2,E106=0),G106=1,F106=1),D106,"")</f>
      </c>
      <c r="Y106" s="114">
        <f>IF(AND(OR(E106=2,E106=0),G106=2,F106=1),D106,"")</f>
      </c>
      <c r="Z106" s="114">
        <f>IF(AND(OR(E106=2,E106=0),G106=3,F106=1),D106,"")</f>
      </c>
      <c r="AA106" s="114">
        <f>IF(AND(OR(E106=3,E106=0),G106=1,F106=1),D106,"")</f>
      </c>
      <c r="AB106" s="114">
        <f>IF(AND(OR(E106=3,E106=0),G106=2,F106=1),D106,"")</f>
      </c>
      <c r="AC106" s="114">
        <f>IF(AND(OR(E106=3,E106=0),G106=3,F106=1),D106,"")</f>
      </c>
      <c r="AD106" s="114">
        <f>IF(AND(OR(E106=1,E106=0),G106=1,F106=0),J106,"")</f>
      </c>
      <c r="AE106" s="114">
        <f>IF(AND(OR(E106=1,E106=0),G106=2,F106=0),J106,"")</f>
      </c>
      <c r="AF106" s="114">
        <f>IF(AND(OR(E106=1,E106=0),G106=3,F106=0),J106,"")</f>
      </c>
      <c r="AG106" s="114">
        <f>IF(AND(OR(E106=1,E106=0),G106=1,F106=1),J106,"")</f>
      </c>
      <c r="AH106" s="114">
        <f>IF(AND(OR(E106=1,E106=0),G106=2,F106=1),J106,"")</f>
      </c>
      <c r="AI106" s="114">
        <f>IF(AND(OR(E106=1,E106=0),G106=3,F106=1),J106,"")</f>
      </c>
      <c r="AJ106" s="114">
        <f>IF(AND(OR(E106=2,E106=0),G106=1,F106=0),J106,"")</f>
      </c>
      <c r="AK106" s="114">
        <f>IF(AND(OR(E106=2,E106=0),G106=2,F106=0),J106,"")</f>
      </c>
      <c r="AL106" s="114">
        <f>IF(AND(OR(E106=2,E106=0),G106=3,F106=0),J106,"")</f>
      </c>
      <c r="AM106" s="114">
        <f>IF(AND(OR(E106=2,E106=0),G106=1,F106=1),J106,"")</f>
      </c>
      <c r="AN106" s="114">
        <f>IF(AND(OR(E106=2,E106=0),G106=2,F106=1),J106,"")</f>
      </c>
      <c r="AO106" s="114">
        <f>IF(AND(OR(E106=2,E106=0),G106=3,F106=1),J106,"")</f>
      </c>
      <c r="AP106" s="114">
        <f>IF(AND(OR(E106=3,E106=0),G106=1,F106=0),J106,"")</f>
      </c>
      <c r="AQ106" s="114">
        <f>IF(AND(OR(E106=3,E106=0),G106=2,F106=0),J106,"")</f>
      </c>
      <c r="AR106" s="114">
        <f>IF(AND(OR(E106=3,E106=0),G106=3,F106=0),J106,"")</f>
      </c>
      <c r="AS106" s="114">
        <f>IF(AND(OR(E106=3,E106=0),G106=1,F106=1),J106,"")</f>
      </c>
      <c r="AT106" s="114">
        <f>IF(AND(OR(E106=3,E106=0),G106=2,F106=1),J106,"")</f>
      </c>
      <c r="AU106" s="114">
        <f>IF(AND(OR(E106=3,E106=0),G106=3,F106=1),J106,"")</f>
      </c>
    </row>
    <row r="107">
      <c r="A107" s="119" t="str">
        <v>すっかり仲良しって感じ♪（金萝卜）</v>
      </c>
      <c r="B107" s="119"/>
      <c r="C107" s="119"/>
      <c r="D107" s="113">
        <f>'持有情况'!Q124-ROW()*0.00001</f>
      </c>
      <c r="E107" s="113">
        <v>1</v>
      </c>
      <c r="F107" s="113">
        <v>1</v>
      </c>
      <c r="G107" s="113">
        <v>2</v>
      </c>
      <c r="H107" s="113">
        <v>1</v>
      </c>
      <c r="I107" s="113" t="str">
        <v>金萝卜</v>
      </c>
      <c r="J107" s="113">
        <f>INT(60+17+13*'路线'!B18+40)-ROW()*0.00001</f>
      </c>
      <c r="K107" s="3"/>
      <c r="L107" s="114">
        <f>IF(AND(OR(E107=1,E107=0),G107=1),D107,"")</f>
      </c>
      <c r="M107" s="114">
        <f>IF(AND(OR(E107=2,E107=0),G107=1),D107,"")</f>
      </c>
      <c r="N107" s="114">
        <f>IF(AND(OR(E107=3,E107=0),G107=1),D107,"")</f>
      </c>
      <c r="O107" s="114">
        <f>IF(AND(OR(E107=1,E107=0),G107=2),D107,"")</f>
      </c>
      <c r="P107" s="114">
        <f>IF(AND(OR(E107=2,E107=0),G107=2),D107,"")</f>
      </c>
      <c r="Q107" s="114">
        <f>IF(AND(OR(E107=3,E107=0),G107=2),D107,"")</f>
      </c>
      <c r="R107" s="114">
        <f>IF(AND(OR(E107=1,E107=0),G107=3),D107,"")</f>
      </c>
      <c r="S107" s="114">
        <f>IF(AND(OR(E107=2,E107=0),G107=3),D107,"")</f>
      </c>
      <c r="T107" s="114">
        <f>IF(AND(OR(E107=3,E107=0),G107=3),D107,"")</f>
      </c>
      <c r="U107" s="114">
        <f>IF(AND(OR(E107=1,E107=0),G107=1,F107=1),D107,"")</f>
      </c>
      <c r="V107" s="114">
        <f>IF(AND(OR(E107=1,E107=0),G107=2,F107=1),D107,"")</f>
      </c>
      <c r="W107" s="114">
        <f>IF(AND(OR(E107=1,E107=0),G107=3,F107=1),D107,"")</f>
      </c>
      <c r="X107" s="114">
        <f>IF(AND(OR(E107=2,E107=0),G107=1,F107=1),D107,"")</f>
      </c>
      <c r="Y107" s="114">
        <f>IF(AND(OR(E107=2,E107=0),G107=2,F107=1),D107,"")</f>
      </c>
      <c r="Z107" s="114">
        <f>IF(AND(OR(E107=2,E107=0),G107=3,F107=1),D107,"")</f>
      </c>
      <c r="AA107" s="114">
        <f>IF(AND(OR(E107=3,E107=0),G107=1,F107=1),D107,"")</f>
      </c>
      <c r="AB107" s="114">
        <f>IF(AND(OR(E107=3,E107=0),G107=2,F107=1),D107,"")</f>
      </c>
      <c r="AC107" s="114">
        <f>IF(AND(OR(E107=3,E107=0),G107=3,F107=1),D107,"")</f>
      </c>
      <c r="AD107" s="114">
        <f>IF(AND(OR(E107=1,E107=0),G107=1,F107=0),J107,"")</f>
      </c>
      <c r="AE107" s="114">
        <f>IF(AND(OR(E107=1,E107=0),G107=2,F107=0),J107,"")</f>
      </c>
      <c r="AF107" s="114">
        <f>IF(AND(OR(E107=1,E107=0),G107=3,F107=0),J107,"")</f>
      </c>
      <c r="AG107" s="114">
        <f>IF(AND(OR(E107=1,E107=0),G107=1,F107=1),J107,"")</f>
      </c>
      <c r="AH107" s="114">
        <f>IF(AND(OR(E107=1,E107=0),G107=2,F107=1),J107,"")</f>
      </c>
      <c r="AI107" s="114">
        <f>IF(AND(OR(E107=1,E107=0),G107=3,F107=1),J107,"")</f>
      </c>
      <c r="AJ107" s="114">
        <f>IF(AND(OR(E107=2,E107=0),G107=1,F107=0),J107,"")</f>
      </c>
      <c r="AK107" s="114">
        <f>IF(AND(OR(E107=2,E107=0),G107=2,F107=0),J107,"")</f>
      </c>
      <c r="AL107" s="114">
        <f>IF(AND(OR(E107=2,E107=0),G107=3,F107=0),J107,"")</f>
      </c>
      <c r="AM107" s="114">
        <f>IF(AND(OR(E107=2,E107=0),G107=1,F107=1),J107,"")</f>
      </c>
      <c r="AN107" s="114">
        <f>IF(AND(OR(E107=2,E107=0),G107=2,F107=1),J107,"")</f>
      </c>
      <c r="AO107" s="114">
        <f>IF(AND(OR(E107=2,E107=0),G107=3,F107=1),J107,"")</f>
      </c>
      <c r="AP107" s="114">
        <f>IF(AND(OR(E107=3,E107=0),G107=1,F107=0),J107,"")</f>
      </c>
      <c r="AQ107" s="114">
        <f>IF(AND(OR(E107=3,E107=0),G107=2,F107=0),J107,"")</f>
      </c>
      <c r="AR107" s="114">
        <f>IF(AND(OR(E107=3,E107=0),G107=3,F107=0),J107,"")</f>
      </c>
      <c r="AS107" s="114">
        <f>IF(AND(OR(E107=3,E107=0),G107=1,F107=1),J107,"")</f>
      </c>
      <c r="AT107" s="114">
        <f>IF(AND(OR(E107=3,E107=0),G107=2,F107=1),J107,"")</f>
      </c>
      <c r="AU107" s="114">
        <f>IF(AND(OR(E107=3,E107=0),G107=3,F107=1),J107,"")</f>
      </c>
    </row>
    <row r="108">
      <c r="A108" s="115" t="str">
        <v>迷子のおしらせです（mygo）</v>
      </c>
      <c r="B108" s="115"/>
      <c r="C108" s="115"/>
      <c r="D108" s="113">
        <f>'持有情况'!AA124-ROW()*0.00001</f>
      </c>
      <c r="E108" s="113">
        <v>2</v>
      </c>
      <c r="F108" s="113">
        <v>1</v>
      </c>
      <c r="G108" s="113">
        <v>3</v>
      </c>
      <c r="H108" s="113">
        <v>1</v>
      </c>
      <c r="I108" s="113" t="str">
        <v>mygo</v>
      </c>
      <c r="J108" s="113">
        <f>INT(60+7*'路线'!B29+2*'路线'!B24+40)-ROW()*0.00001</f>
      </c>
      <c r="K108" s="3"/>
      <c r="L108" s="114">
        <f>IF(AND(OR(E108=1,E108=0),G108=1),D108,"")</f>
      </c>
      <c r="M108" s="114">
        <f>IF(AND(OR(E108=2,E108=0),G108=1),D108,"")</f>
      </c>
      <c r="N108" s="114">
        <f>IF(AND(OR(E108=3,E108=0),G108=1),D108,"")</f>
      </c>
      <c r="O108" s="114">
        <f>IF(AND(OR(E108=1,E108=0),G108=2),D108,"")</f>
      </c>
      <c r="P108" s="114">
        <f>IF(AND(OR(E108=2,E108=0),G108=2),D108,"")</f>
      </c>
      <c r="Q108" s="114">
        <f>IF(AND(OR(E108=3,E108=0),G108=2),D108,"")</f>
      </c>
      <c r="R108" s="114">
        <f>IF(AND(OR(E108=1,E108=0),G108=3),D108,"")</f>
      </c>
      <c r="S108" s="114">
        <f>IF(AND(OR(E108=2,E108=0),G108=3),D108,"")</f>
      </c>
      <c r="T108" s="114">
        <f>IF(AND(OR(E108=3,E108=0),G108=3),D108,"")</f>
      </c>
      <c r="U108" s="114">
        <f>IF(AND(OR(E108=1,E108=0),G108=1,F108=1),D108,"")</f>
      </c>
      <c r="V108" s="114">
        <f>IF(AND(OR(E108=1,E108=0),G108=2,F108=1),D108,"")</f>
      </c>
      <c r="W108" s="114">
        <f>IF(AND(OR(E108=1,E108=0),G108=3,F108=1),D108,"")</f>
      </c>
      <c r="X108" s="114">
        <f>IF(AND(OR(E108=2,E108=0),G108=1,F108=1),D108,"")</f>
      </c>
      <c r="Y108" s="114">
        <f>IF(AND(OR(E108=2,E108=0),G108=2,F108=1),D108,"")</f>
      </c>
      <c r="Z108" s="114">
        <f>IF(AND(OR(E108=2,E108=0),G108=3,F108=1),D108,"")</f>
      </c>
      <c r="AA108" s="114">
        <f>IF(AND(OR(E108=3,E108=0),G108=1,F108=1),D108,"")</f>
      </c>
      <c r="AB108" s="114">
        <f>IF(AND(OR(E108=3,E108=0),G108=2,F108=1),D108,"")</f>
      </c>
      <c r="AC108" s="114">
        <f>IF(AND(OR(E108=3,E108=0),G108=3,F108=1),D108,"")</f>
      </c>
      <c r="AD108" s="114">
        <f>IF(AND(OR(E108=1,E108=0),G108=1,F108=0),J108,"")</f>
      </c>
      <c r="AE108" s="114">
        <f>IF(AND(OR(E108=1,E108=0),G108=2,F108=0),J108,"")</f>
      </c>
      <c r="AF108" s="114">
        <f>IF(AND(OR(E108=1,E108=0),G108=3,F108=0),J108,"")</f>
      </c>
      <c r="AG108" s="114">
        <f>IF(AND(OR(E108=1,E108=0),G108=1,F108=1),J108,"")</f>
      </c>
      <c r="AH108" s="114">
        <f>IF(AND(OR(E108=1,E108=0),G108=2,F108=1),J108,"")</f>
      </c>
      <c r="AI108" s="114">
        <f>IF(AND(OR(E108=1,E108=0),G108=3,F108=1),J108,"")</f>
      </c>
      <c r="AJ108" s="114">
        <f>IF(AND(OR(E108=2,E108=0),G108=1,F108=0),J108,"")</f>
      </c>
      <c r="AK108" s="114">
        <f>IF(AND(OR(E108=2,E108=0),G108=2,F108=0),J108,"")</f>
      </c>
      <c r="AL108" s="114">
        <f>IF(AND(OR(E108=2,E108=0),G108=3,F108=0),J108,"")</f>
      </c>
      <c r="AM108" s="114">
        <f>IF(AND(OR(E108=2,E108=0),G108=1,F108=1),J108,"")</f>
      </c>
      <c r="AN108" s="114">
        <f>IF(AND(OR(E108=2,E108=0),G108=2,F108=1),J108,"")</f>
      </c>
      <c r="AO108" s="114">
        <f>IF(AND(OR(E108=2,E108=0),G108=3,F108=1),J108,"")</f>
      </c>
      <c r="AP108" s="114">
        <f>IF(AND(OR(E108=3,E108=0),G108=1,F108=0),J108,"")</f>
      </c>
      <c r="AQ108" s="114">
        <f>IF(AND(OR(E108=3,E108=0),G108=2,F108=0),J108,"")</f>
      </c>
      <c r="AR108" s="114">
        <f>IF(AND(OR(E108=3,E108=0),G108=3,F108=0),J108,"")</f>
      </c>
      <c r="AS108" s="114">
        <f>IF(AND(OR(E108=3,E108=0),G108=1,F108=1),J108,"")</f>
      </c>
      <c r="AT108" s="114">
        <f>IF(AND(OR(E108=3,E108=0),G108=2,F108=1),J108,"")</f>
      </c>
      <c r="AU108" s="114">
        <f>IF(AND(OR(E108=3,E108=0),G108=3,F108=1),J108,"")</f>
      </c>
    </row>
    <row r="109">
      <c r="A109" s="115" t="str">
        <v>推し活なひととき、だね！（猫头鹰）</v>
      </c>
      <c r="B109" s="115"/>
      <c r="C109" s="115"/>
      <c r="D109" s="113">
        <f>'持有情况'!AA130-ROW()*0.00001</f>
      </c>
      <c r="E109" s="113">
        <v>2</v>
      </c>
      <c r="F109" s="113">
        <v>0</v>
      </c>
      <c r="G109" s="113">
        <v>3</v>
      </c>
      <c r="H109" s="113">
        <v>0</v>
      </c>
      <c r="I109" s="113"/>
      <c r="J109" s="113">
        <f>INT((8.5/100)*'路线'!B12+4*'路线'!B27+IF('路线'!B41&gt;6,6,'路线'!B41)*11+17*'路线'!B34+40)-ROW()*0.00001</f>
      </c>
      <c r="K109" s="113"/>
      <c r="L109" s="114">
        <f>IF(AND(OR(E109=1,E109=0),G109=1),D109,"")</f>
      </c>
      <c r="M109" s="114">
        <f>IF(AND(OR(E109=2,E109=0),G109=1),D109,"")</f>
      </c>
      <c r="N109" s="114">
        <f>IF(AND(OR(E109=3,E109=0),G109=1),D109,"")</f>
      </c>
      <c r="O109" s="114">
        <f>IF(AND(OR(E109=1,E109=0),G109=2),D109,"")</f>
      </c>
      <c r="P109" s="114">
        <f>IF(AND(OR(E109=2,E109=0),G109=2),D109,"")</f>
      </c>
      <c r="Q109" s="114">
        <f>IF(AND(OR(E109=3,E109=0),G109=2),D109,"")</f>
      </c>
      <c r="R109" s="114">
        <f>IF(AND(OR(E109=1,E109=0),G109=3),D109,"")</f>
      </c>
      <c r="S109" s="114">
        <f>IF(AND(OR(E109=2,E109=0),G109=3),D109,"")</f>
      </c>
      <c r="T109" s="114">
        <f>IF(AND(OR(E109=3,E109=0),G109=3),D109,"")</f>
      </c>
      <c r="U109" s="114">
        <f>IF(AND(OR(E109=1,E109=0),G109=1,F109=1),D109,"")</f>
      </c>
      <c r="V109" s="114">
        <f>IF(AND(OR(E109=1,E109=0),G109=2,F109=1),D109,"")</f>
      </c>
      <c r="W109" s="114">
        <f>IF(AND(OR(E109=1,E109=0),G109=3,F109=1),D109,"")</f>
      </c>
      <c r="X109" s="114">
        <f>IF(AND(OR(E109=2,E109=0),G109=1,F109=1),D109,"")</f>
      </c>
      <c r="Y109" s="114">
        <f>IF(AND(OR(E109=2,E109=0),G109=2,F109=1),D109,"")</f>
      </c>
      <c r="Z109" s="114">
        <f>IF(AND(OR(E109=2,E109=0),G109=3,F109=1),D109,"")</f>
      </c>
      <c r="AA109" s="114">
        <f>IF(AND(OR(E109=3,E109=0),G109=1,F109=1),D109,"")</f>
      </c>
      <c r="AB109" s="114">
        <f>IF(AND(OR(E109=3,E109=0),G109=2,F109=1),D109,"")</f>
      </c>
      <c r="AC109" s="114">
        <f>IF(AND(OR(E109=3,E109=0),G109=3,F109=1),D109,"")</f>
      </c>
      <c r="AD109" s="114">
        <f>IF(AND(OR(E109=1,E109=0),G109=1,F109=0),J109,"")</f>
      </c>
      <c r="AE109" s="114">
        <f>IF(AND(OR(E109=1,E109=0),G109=2,F109=0),J109,"")</f>
      </c>
      <c r="AF109" s="114">
        <f>IF(AND(OR(E109=1,E109=0),G109=3,F109=0),J109,"")</f>
      </c>
      <c r="AG109" s="114">
        <f>IF(AND(OR(E109=1,E109=0),G109=1,F109=1),J109,"")</f>
      </c>
      <c r="AH109" s="114">
        <f>IF(AND(OR(E109=1,E109=0),G109=2,F109=1),J109,"")</f>
      </c>
      <c r="AI109" s="114">
        <f>IF(AND(OR(E109=1,E109=0),G109=3,F109=1),J109,"")</f>
      </c>
      <c r="AJ109" s="114">
        <f>IF(AND(OR(E109=2,E109=0),G109=1,F109=0),J109,"")</f>
      </c>
      <c r="AK109" s="114">
        <f>IF(AND(OR(E109=2,E109=0),G109=2,F109=0),J109,"")</f>
      </c>
      <c r="AL109" s="114">
        <f>IF(AND(OR(E109=2,E109=0),G109=3,F109=0),J109,"")</f>
      </c>
      <c r="AM109" s="114">
        <f>IF(AND(OR(E109=2,E109=0),G109=1,F109=1),J109,"")</f>
      </c>
      <c r="AN109" s="114">
        <f>IF(AND(OR(E109=2,E109=0),G109=2,F109=1),J109,"")</f>
      </c>
      <c r="AO109" s="114">
        <f>IF(AND(OR(E109=2,E109=0),G109=3,F109=1),J109,"")</f>
      </c>
      <c r="AP109" s="114">
        <f>IF(AND(OR(E109=3,E109=0),G109=1,F109=0),J109,"")</f>
      </c>
      <c r="AQ109" s="114">
        <f>IF(AND(OR(E109=3,E109=0),G109=2,F109=0),J109,"")</f>
      </c>
      <c r="AR109" s="114">
        <f>IF(AND(OR(E109=3,E109=0),G109=3,F109=0),J109,"")</f>
      </c>
      <c r="AS109" s="114">
        <f>IF(AND(OR(E109=3,E109=0),G109=1,F109=1),J109,"")</f>
      </c>
      <c r="AT109" s="114">
        <f>IF(AND(OR(E109=3,E109=0),G109=2,F109=1),J109,"")</f>
      </c>
      <c r="AU109" s="114">
        <f>IF(AND(OR(E109=3,E109=0),G109=3,F109=1),J109,"")</f>
      </c>
    </row>
    <row r="110">
      <c r="A110" s="115" t="str">
        <v>ばたんきゅー（噗叽啪——）</v>
      </c>
      <c r="B110" s="115"/>
      <c r="C110" s="115"/>
      <c r="D110" s="113">
        <f>'持有情况'!BE94-ROW()*0.00001</f>
      </c>
      <c r="E110" s="113">
        <v>2</v>
      </c>
      <c r="F110" s="113">
        <v>1</v>
      </c>
      <c r="G110" s="113">
        <v>3</v>
      </c>
      <c r="H110" s="113">
        <v>0</v>
      </c>
      <c r="I110" s="113"/>
      <c r="J110" s="113">
        <f>INT(45+IF('路线'!B36&gt;3,3,'路线'!B36)*16+13*'路线'!B18+30)-ROW()*0.00001</f>
      </c>
      <c r="K110" s="113"/>
      <c r="L110" s="114">
        <f>IF(AND(OR(E110=1,E110=0),G110=1),D110,"")</f>
      </c>
      <c r="M110" s="114">
        <f>IF(AND(OR(E110=2,E110=0),G110=1),D110,"")</f>
      </c>
      <c r="N110" s="114">
        <f>IF(AND(OR(E110=3,E110=0),G110=1),D110,"")</f>
      </c>
      <c r="O110" s="114">
        <f>IF(AND(OR(E110=1,E110=0),G110=2),D110,"")</f>
      </c>
      <c r="P110" s="114">
        <f>IF(AND(OR(E110=2,E110=0),G110=2),D110,"")</f>
      </c>
      <c r="Q110" s="114">
        <f>IF(AND(OR(E110=3,E110=0),G110=2),D110,"")</f>
      </c>
      <c r="R110" s="114">
        <f>IF(AND(OR(E110=1,E110=0),G110=3),D110,"")</f>
      </c>
      <c r="S110" s="114">
        <f>IF(AND(OR(E110=2,E110=0),G110=3),D110,"")</f>
      </c>
      <c r="T110" s="114">
        <f>IF(AND(OR(E110=3,E110=0),G110=3),D110,"")</f>
      </c>
      <c r="U110" s="114">
        <f>IF(AND(OR(E110=1,E110=0),G110=1,F110=1),D110,"")</f>
      </c>
      <c r="V110" s="114">
        <f>IF(AND(OR(E110=1,E110=0),G110=2,F110=1),D110,"")</f>
      </c>
      <c r="W110" s="114">
        <f>IF(AND(OR(E110=1,E110=0),G110=3,F110=1),D110,"")</f>
      </c>
      <c r="X110" s="114">
        <f>IF(AND(OR(E110=2,E110=0),G110=1,F110=1),D110,"")</f>
      </c>
      <c r="Y110" s="114">
        <f>IF(AND(OR(E110=2,E110=0),G110=2,F110=1),D110,"")</f>
      </c>
      <c r="Z110" s="114">
        <f>IF(AND(OR(E110=2,E110=0),G110=3,F110=1),D110,"")</f>
      </c>
      <c r="AA110" s="114">
        <f>IF(AND(OR(E110=3,E110=0),G110=1,F110=1),D110,"")</f>
      </c>
      <c r="AB110" s="114">
        <f>IF(AND(OR(E110=3,E110=0),G110=2,F110=1),D110,"")</f>
      </c>
      <c r="AC110" s="114">
        <f>IF(AND(OR(E110=3,E110=0),G110=3,F110=1),D110,"")</f>
      </c>
      <c r="AD110" s="114">
        <f>IF(AND(OR(E110=1,E110=0),G110=1,F110=0),J110,"")</f>
      </c>
      <c r="AE110" s="114">
        <f>IF(AND(OR(E110=1,E110=0),G110=2,F110=0),J110,"")</f>
      </c>
      <c r="AF110" s="114">
        <f>IF(AND(OR(E110=1,E110=0),G110=3,F110=0),J110,"")</f>
      </c>
      <c r="AG110" s="114">
        <f>IF(AND(OR(E110=1,E110=0),G110=1,F110=1),J110,"")</f>
      </c>
      <c r="AH110" s="114">
        <f>IF(AND(OR(E110=1,E110=0),G110=2,F110=1),J110,"")</f>
      </c>
      <c r="AI110" s="114">
        <f>IF(AND(OR(E110=1,E110=0),G110=3,F110=1),J110,"")</f>
      </c>
      <c r="AJ110" s="114">
        <f>IF(AND(OR(E110=2,E110=0),G110=1,F110=0),J110,"")</f>
      </c>
      <c r="AK110" s="114">
        <f>IF(AND(OR(E110=2,E110=0),G110=2,F110=0),J110,"")</f>
      </c>
      <c r="AL110" s="114">
        <f>IF(AND(OR(E110=2,E110=0),G110=3,F110=0),J110,"")</f>
      </c>
      <c r="AM110" s="114">
        <f>IF(AND(OR(E110=2,E110=0),G110=1,F110=1),J110,"")</f>
      </c>
      <c r="AN110" s="114">
        <f>IF(AND(OR(E110=2,E110=0),G110=2,F110=1),J110,"")</f>
      </c>
      <c r="AO110" s="114">
        <f>IF(AND(OR(E110=2,E110=0),G110=3,F110=1),J110,"")</f>
      </c>
      <c r="AP110" s="114">
        <f>IF(AND(OR(E110=3,E110=0),G110=1,F110=0),J110,"")</f>
      </c>
      <c r="AQ110" s="114">
        <f>IF(AND(OR(E110=3,E110=0),G110=2,F110=0),J110,"")</f>
      </c>
      <c r="AR110" s="114">
        <f>IF(AND(OR(E110=3,E110=0),G110=3,F110=0),J110,"")</f>
      </c>
      <c r="AS110" s="114">
        <f>IF(AND(OR(E110=3,E110=0),G110=1,F110=1),J110,"")</f>
      </c>
      <c r="AT110" s="114">
        <f>IF(AND(OR(E110=3,E110=0),G110=2,F110=1),J110,"")</f>
      </c>
      <c r="AU110" s="114">
        <f>IF(AND(OR(E110=3,E110=0),G110=3,F110=1),J110,"")</f>
      </c>
    </row>
    <row r="111">
      <c r="A111" s="116"/>
      <c r="B111" s="116"/>
      <c r="C111" s="116"/>
      <c r="D111" s="116"/>
      <c r="E111" s="116"/>
      <c r="F111" s="116"/>
      <c r="G111" s="116"/>
      <c r="H111" s="117"/>
      <c r="I111" s="1"/>
      <c r="J111" s="116"/>
      <c r="K111" s="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row>
    <row r="112">
      <c r="A112" s="116"/>
      <c r="B112" s="116"/>
      <c r="C112" s="116"/>
      <c r="D112" s="116"/>
      <c r="E112" s="116"/>
      <c r="F112" s="116"/>
      <c r="G112" s="116"/>
      <c r="H112" s="117"/>
      <c r="I112" s="1"/>
      <c r="J112" s="116"/>
      <c r="K112" s="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row>
    <row r="113">
      <c r="A113" s="116"/>
      <c r="B113" s="116"/>
      <c r="C113" s="116"/>
      <c r="D113" s="116"/>
      <c r="E113" s="116"/>
      <c r="F113" s="116"/>
      <c r="G113" s="116"/>
      <c r="H113" s="117"/>
      <c r="I113" s="1"/>
      <c r="J113" s="116"/>
      <c r="K113" s="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row>
    <row r="114">
      <c r="A114" s="116"/>
      <c r="B114" s="116"/>
      <c r="C114" s="116"/>
      <c r="D114" s="116"/>
      <c r="E114" s="116"/>
      <c r="F114" s="116"/>
      <c r="G114" s="116"/>
      <c r="H114" s="117"/>
      <c r="I114" s="1"/>
      <c r="J114" s="116"/>
      <c r="K114" s="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row>
    <row r="115">
      <c r="A115" s="116"/>
      <c r="B115" s="116"/>
      <c r="C115" s="116"/>
      <c r="D115" s="116"/>
      <c r="E115" s="116"/>
      <c r="F115" s="116"/>
      <c r="G115" s="116"/>
      <c r="H115" s="117"/>
      <c r="I115" s="1"/>
      <c r="J115" s="116"/>
      <c r="K115" s="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row>
    <row r="116">
      <c r="A116" s="116"/>
      <c r="B116" s="116"/>
      <c r="C116" s="116"/>
      <c r="D116" s="116"/>
      <c r="E116" s="116"/>
      <c r="F116" s="116"/>
      <c r="G116" s="116"/>
      <c r="H116" s="117"/>
      <c r="I116" s="1"/>
      <c r="J116" s="116"/>
      <c r="K116" s="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row>
    <row r="117">
      <c r="A117" s="116"/>
      <c r="B117" s="116"/>
      <c r="C117" s="116"/>
      <c r="D117" s="116"/>
      <c r="E117" s="116"/>
      <c r="F117" s="116"/>
      <c r="G117" s="116"/>
      <c r="H117" s="117"/>
      <c r="I117" s="1"/>
      <c r="J117" s="116"/>
      <c r="K117" s="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row>
    <row r="118">
      <c r="A118" s="116"/>
      <c r="B118" s="116"/>
      <c r="C118" s="116"/>
      <c r="D118" s="116"/>
      <c r="E118" s="116"/>
      <c r="F118" s="116"/>
      <c r="G118" s="116"/>
      <c r="H118" s="117"/>
      <c r="I118" s="1"/>
      <c r="J118" s="116"/>
      <c r="K118" s="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row>
    <row r="119">
      <c r="A119" s="116"/>
      <c r="B119" s="116"/>
      <c r="C119" s="116"/>
      <c r="D119" s="116"/>
      <c r="E119" s="116"/>
      <c r="F119" s="116"/>
      <c r="G119" s="116"/>
      <c r="H119" s="117"/>
      <c r="I119" s="1"/>
      <c r="J119" s="116"/>
      <c r="K119" s="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row>
    <row r="120">
      <c r="A120" s="116"/>
      <c r="B120" s="116"/>
      <c r="C120" s="116"/>
      <c r="D120" s="116"/>
      <c r="E120" s="116"/>
      <c r="F120" s="116"/>
      <c r="G120" s="116"/>
      <c r="H120" s="117"/>
      <c r="I120" s="1"/>
      <c r="J120" s="116"/>
      <c r="K120" s="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row>
    <row r="121">
      <c r="A121" s="116"/>
      <c r="B121" s="116"/>
      <c r="C121" s="116"/>
      <c r="D121" s="116"/>
      <c r="E121" s="116"/>
      <c r="F121" s="116"/>
      <c r="G121" s="116"/>
      <c r="H121" s="117"/>
      <c r="I121" s="1"/>
      <c r="J121" s="116"/>
      <c r="K121" s="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row>
    <row r="122">
      <c r="A122" s="116"/>
      <c r="B122" s="116"/>
      <c r="C122" s="116"/>
      <c r="D122" s="116"/>
      <c r="E122" s="116"/>
      <c r="F122" s="116"/>
      <c r="G122" s="116"/>
      <c r="H122" s="117"/>
      <c r="I122" s="1"/>
      <c r="J122" s="116"/>
      <c r="K122" s="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row>
    <row r="123">
      <c r="A123" s="116"/>
      <c r="B123" s="116"/>
      <c r="C123" s="116"/>
      <c r="D123" s="116"/>
      <c r="E123" s="116"/>
      <c r="F123" s="116"/>
      <c r="G123" s="116"/>
      <c r="H123" s="117"/>
      <c r="I123" s="1"/>
      <c r="J123" s="116"/>
      <c r="K123" s="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row>
    <row r="124">
      <c r="A124" s="116"/>
      <c r="B124" s="116"/>
      <c r="C124" s="116"/>
      <c r="D124" s="116"/>
      <c r="E124" s="116"/>
      <c r="F124" s="116"/>
      <c r="G124" s="116"/>
      <c r="H124" s="117"/>
      <c r="I124" s="1"/>
      <c r="J124" s="116"/>
      <c r="K124" s="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row>
    <row r="125">
      <c r="A125" s="116"/>
      <c r="B125" s="116"/>
      <c r="C125" s="116"/>
      <c r="D125" s="116"/>
      <c r="E125" s="116"/>
      <c r="F125" s="116"/>
      <c r="G125" s="116"/>
      <c r="H125" s="117"/>
      <c r="I125" s="1"/>
      <c r="J125" s="116"/>
      <c r="K125" s="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row>
    <row r="126">
      <c r="A126" s="116"/>
      <c r="B126" s="116"/>
      <c r="C126" s="116"/>
      <c r="D126" s="116"/>
      <c r="E126" s="116"/>
      <c r="F126" s="116"/>
      <c r="G126" s="116"/>
      <c r="H126" s="117"/>
      <c r="I126" s="1"/>
      <c r="J126" s="116"/>
      <c r="K126" s="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row>
    <row r="127">
      <c r="A127" s="116"/>
      <c r="B127" s="116"/>
      <c r="C127" s="116"/>
      <c r="D127" s="116"/>
      <c r="E127" s="116"/>
      <c r="F127" s="116"/>
      <c r="G127" s="116"/>
      <c r="H127" s="117"/>
      <c r="I127" s="1"/>
      <c r="J127" s="116"/>
      <c r="K127" s="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row>
    <row r="128">
      <c r="A128" s="116"/>
      <c r="B128" s="116"/>
      <c r="C128" s="116"/>
      <c r="D128" s="116"/>
      <c r="E128" s="116"/>
      <c r="F128" s="116"/>
      <c r="G128" s="116"/>
      <c r="H128" s="117"/>
      <c r="I128" s="1"/>
      <c r="J128" s="116"/>
      <c r="K128" s="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row>
    <row r="129">
      <c r="A129" s="116"/>
      <c r="B129" s="116"/>
      <c r="C129" s="116"/>
      <c r="D129" s="116"/>
      <c r="E129" s="116"/>
      <c r="F129" s="116"/>
      <c r="G129" s="116"/>
      <c r="H129" s="117"/>
      <c r="I129" s="1"/>
      <c r="J129" s="116"/>
      <c r="K129" s="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row>
    <row r="130">
      <c r="A130" s="116"/>
      <c r="B130" s="116"/>
      <c r="C130" s="116"/>
      <c r="D130" s="116"/>
      <c r="E130" s="116"/>
      <c r="F130" s="116"/>
      <c r="G130" s="116"/>
      <c r="H130" s="117"/>
      <c r="I130" s="1"/>
      <c r="J130" s="116"/>
      <c r="K130" s="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row>
    <row r="131">
      <c r="A131" s="116"/>
      <c r="B131" s="116"/>
      <c r="C131" s="116"/>
      <c r="D131" s="116"/>
      <c r="E131" s="116"/>
      <c r="F131" s="116"/>
      <c r="G131" s="116"/>
      <c r="H131" s="117"/>
      <c r="I131" s="1"/>
      <c r="J131" s="116"/>
      <c r="K131" s="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row>
    <row r="132">
      <c r="A132" s="116"/>
      <c r="B132" s="116"/>
      <c r="C132" s="116"/>
      <c r="D132" s="116"/>
      <c r="E132" s="116"/>
      <c r="F132" s="116"/>
      <c r="G132" s="116"/>
      <c r="H132" s="117"/>
      <c r="I132" s="1"/>
      <c r="J132" s="116"/>
      <c r="K132" s="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row>
    <row r="133">
      <c r="A133" s="116"/>
      <c r="B133" s="116"/>
      <c r="C133" s="116"/>
      <c r="D133" s="116"/>
      <c r="E133" s="116"/>
      <c r="F133" s="116"/>
      <c r="G133" s="116"/>
      <c r="H133" s="117"/>
      <c r="I133" s="1"/>
      <c r="J133" s="116"/>
      <c r="K133" s="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row>
    <row r="134">
      <c r="A134" s="116"/>
      <c r="B134" s="116"/>
      <c r="C134" s="116"/>
      <c r="D134" s="116"/>
      <c r="E134" s="116"/>
      <c r="F134" s="116"/>
      <c r="G134" s="116"/>
      <c r="H134" s="117"/>
      <c r="I134" s="1"/>
      <c r="J134" s="116"/>
      <c r="K134" s="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row>
    <row r="135">
      <c r="A135" s="116"/>
      <c r="B135" s="116"/>
      <c r="C135" s="116"/>
      <c r="D135" s="116"/>
      <c r="E135" s="116"/>
      <c r="F135" s="116"/>
      <c r="G135" s="116"/>
      <c r="H135" s="117"/>
      <c r="I135" s="1"/>
      <c r="J135" s="116"/>
      <c r="K135" s="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row>
    <row r="136">
      <c r="A136" s="116"/>
      <c r="B136" s="116"/>
      <c r="C136" s="116"/>
      <c r="D136" s="116"/>
      <c r="E136" s="116"/>
      <c r="F136" s="116"/>
      <c r="G136" s="116"/>
      <c r="H136" s="117"/>
      <c r="I136" s="1"/>
      <c r="J136" s="116"/>
      <c r="K136" s="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row>
    <row r="137">
      <c r="A137" s="116"/>
      <c r="B137" s="116"/>
      <c r="C137" s="116"/>
      <c r="D137" s="116"/>
      <c r="E137" s="116"/>
      <c r="F137" s="116"/>
      <c r="G137" s="116"/>
      <c r="H137" s="117"/>
      <c r="I137" s="1"/>
      <c r="J137" s="116"/>
      <c r="K137" s="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row>
    <row r="138">
      <c r="A138" s="116"/>
      <c r="B138" s="116"/>
      <c r="C138" s="116"/>
      <c r="D138" s="116"/>
      <c r="E138" s="116"/>
      <c r="F138" s="116"/>
      <c r="G138" s="116"/>
      <c r="H138" s="117"/>
      <c r="I138" s="1"/>
      <c r="J138" s="116"/>
      <c r="K138" s="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row>
    <row r="139">
      <c r="A139" s="116"/>
      <c r="B139" s="116"/>
      <c r="C139" s="116"/>
      <c r="D139" s="116"/>
      <c r="E139" s="116"/>
      <c r="F139" s="116"/>
      <c r="G139" s="116"/>
      <c r="H139" s="117"/>
      <c r="I139" s="1"/>
      <c r="J139" s="116"/>
      <c r="K139" s="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row>
    <row r="140">
      <c r="A140" s="116"/>
      <c r="B140" s="116"/>
      <c r="C140" s="116"/>
      <c r="D140" s="116"/>
      <c r="E140" s="116"/>
      <c r="F140" s="116"/>
      <c r="G140" s="116"/>
      <c r="H140" s="117"/>
      <c r="I140" s="1"/>
      <c r="J140" s="116"/>
      <c r="K140" s="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row>
    <row r="141">
      <c r="A141" s="116"/>
      <c r="B141" s="116"/>
      <c r="C141" s="116"/>
      <c r="D141" s="116"/>
      <c r="E141" s="116"/>
      <c r="F141" s="116"/>
      <c r="G141" s="116"/>
      <c r="H141" s="117"/>
      <c r="I141" s="1"/>
      <c r="J141" s="116"/>
      <c r="K141" s="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row>
    <row r="142">
      <c r="A142" s="116"/>
      <c r="B142" s="116"/>
      <c r="C142" s="116"/>
      <c r="D142" s="116"/>
      <c r="E142" s="116"/>
      <c r="F142" s="116"/>
      <c r="G142" s="116"/>
      <c r="H142" s="117"/>
      <c r="I142" s="1"/>
      <c r="J142" s="116"/>
      <c r="K142" s="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row>
    <row r="143">
      <c r="A143" s="116"/>
      <c r="B143" s="116"/>
      <c r="C143" s="116"/>
      <c r="D143" s="116"/>
      <c r="E143" s="116"/>
      <c r="F143" s="116"/>
      <c r="G143" s="116"/>
      <c r="H143" s="117"/>
      <c r="I143" s="1"/>
      <c r="J143" s="116"/>
      <c r="K143" s="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row>
    <row r="144">
      <c r="A144" s="116"/>
      <c r="B144" s="116"/>
      <c r="C144" s="116"/>
      <c r="D144" s="116"/>
      <c r="E144" s="116"/>
      <c r="F144" s="116"/>
      <c r="G144" s="116"/>
      <c r="H144" s="117"/>
      <c r="I144" s="1"/>
      <c r="J144" s="116"/>
      <c r="K144" s="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row>
    <row r="145">
      <c r="A145" s="116"/>
      <c r="B145" s="116"/>
      <c r="C145" s="116"/>
      <c r="D145" s="116"/>
      <c r="E145" s="116"/>
      <c r="F145" s="116"/>
      <c r="G145" s="116"/>
      <c r="H145" s="117"/>
      <c r="I145" s="1"/>
      <c r="J145" s="116"/>
      <c r="K145" s="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row>
    <row r="146">
      <c r="A146" s="116"/>
      <c r="B146" s="116"/>
      <c r="C146" s="116"/>
      <c r="D146" s="116"/>
      <c r="E146" s="116"/>
      <c r="F146" s="116"/>
      <c r="G146" s="116"/>
      <c r="H146" s="117"/>
      <c r="I146" s="1"/>
      <c r="J146" s="116"/>
      <c r="K146" s="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row>
    <row r="147">
      <c r="A147" s="116"/>
      <c r="B147" s="116"/>
      <c r="C147" s="116"/>
      <c r="D147" s="116"/>
      <c r="E147" s="116"/>
      <c r="F147" s="116"/>
      <c r="G147" s="116"/>
      <c r="H147" s="117"/>
      <c r="I147" s="1"/>
      <c r="J147" s="116"/>
      <c r="K147" s="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row>
    <row r="148">
      <c r="A148" s="116"/>
      <c r="B148" s="116"/>
      <c r="C148" s="116"/>
      <c r="D148" s="116"/>
      <c r="E148" s="116"/>
      <c r="F148" s="116"/>
      <c r="G148" s="116"/>
      <c r="H148" s="117"/>
      <c r="I148" s="1"/>
      <c r="J148" s="116"/>
      <c r="K148" s="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row>
    <row r="149">
      <c r="A149" s="116"/>
      <c r="B149" s="116"/>
      <c r="C149" s="116"/>
      <c r="D149" s="116"/>
      <c r="E149" s="116"/>
      <c r="F149" s="116"/>
      <c r="G149" s="116"/>
      <c r="H149" s="117"/>
      <c r="I149" s="1"/>
      <c r="J149" s="116"/>
      <c r="K149" s="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row>
    <row r="150">
      <c r="A150" s="116"/>
      <c r="B150" s="116"/>
      <c r="C150" s="116"/>
      <c r="D150" s="116"/>
      <c r="E150" s="116"/>
      <c r="F150" s="116"/>
      <c r="G150" s="116"/>
      <c r="H150" s="117"/>
      <c r="I150" s="1"/>
      <c r="J150" s="116"/>
      <c r="K150" s="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row>
    <row r="151">
      <c r="A151" s="116"/>
      <c r="B151" s="116"/>
      <c r="C151" s="116"/>
      <c r="D151" s="116"/>
      <c r="E151" s="116"/>
      <c r="F151" s="116"/>
      <c r="G151" s="116"/>
      <c r="H151" s="117"/>
      <c r="I151" s="1"/>
      <c r="J151" s="116"/>
      <c r="K151" s="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row>
    <row r="152">
      <c r="A152" s="116"/>
      <c r="B152" s="116"/>
      <c r="C152" s="116"/>
      <c r="D152" s="116"/>
      <c r="E152" s="116"/>
      <c r="F152" s="116"/>
      <c r="G152" s="116"/>
      <c r="H152" s="117"/>
      <c r="I152" s="1"/>
      <c r="J152" s="116"/>
      <c r="K152" s="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row>
    <row r="153">
      <c r="A153" s="116"/>
      <c r="B153" s="116"/>
      <c r="C153" s="116"/>
      <c r="D153" s="116"/>
      <c r="E153" s="116"/>
      <c r="F153" s="116"/>
      <c r="G153" s="116"/>
      <c r="H153" s="117"/>
      <c r="I153" s="1"/>
      <c r="J153" s="116"/>
      <c r="K153" s="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row>
    <row r="154">
      <c r="A154" s="116"/>
      <c r="B154" s="116"/>
      <c r="C154" s="116"/>
      <c r="D154" s="116"/>
      <c r="E154" s="116"/>
      <c r="F154" s="116"/>
      <c r="G154" s="116"/>
      <c r="H154" s="117"/>
      <c r="I154" s="1"/>
      <c r="J154" s="116"/>
      <c r="K154" s="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row>
    <row r="155">
      <c r="A155" s="116"/>
      <c r="B155" s="116"/>
      <c r="C155" s="116"/>
      <c r="D155" s="116"/>
      <c r="E155" s="116"/>
      <c r="F155" s="116"/>
      <c r="G155" s="116"/>
      <c r="H155" s="117"/>
      <c r="I155" s="1"/>
      <c r="J155" s="116"/>
      <c r="K155" s="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row>
    <row r="156">
      <c r="A156" s="116"/>
      <c r="B156" s="116"/>
      <c r="C156" s="116"/>
      <c r="D156" s="116"/>
      <c r="E156" s="116"/>
      <c r="F156" s="116"/>
      <c r="G156" s="116"/>
      <c r="H156" s="117"/>
      <c r="I156" s="1"/>
      <c r="J156" s="116"/>
      <c r="K156" s="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row>
    <row r="157">
      <c r="A157" s="116"/>
      <c r="B157" s="116"/>
      <c r="C157" s="116"/>
      <c r="D157" s="116"/>
      <c r="E157" s="116"/>
      <c r="F157" s="116"/>
      <c r="G157" s="116"/>
      <c r="H157" s="117"/>
      <c r="I157" s="1"/>
      <c r="J157" s="116"/>
      <c r="K157" s="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row>
    <row r="158">
      <c r="A158" s="116"/>
      <c r="B158" s="116"/>
      <c r="C158" s="116"/>
      <c r="D158" s="116"/>
      <c r="E158" s="116"/>
      <c r="F158" s="116"/>
      <c r="G158" s="116"/>
      <c r="H158" s="117"/>
      <c r="I158" s="1"/>
      <c r="J158" s="116"/>
      <c r="K158" s="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row>
    <row r="159">
      <c r="A159" s="116"/>
      <c r="B159" s="116"/>
      <c r="C159" s="116"/>
      <c r="D159" s="116"/>
      <c r="E159" s="116"/>
      <c r="F159" s="116"/>
      <c r="G159" s="116"/>
      <c r="H159" s="117"/>
      <c r="I159" s="1"/>
      <c r="J159" s="116"/>
      <c r="K159" s="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row>
    <row r="160">
      <c r="A160" s="116"/>
      <c r="B160" s="116"/>
      <c r="C160" s="116"/>
      <c r="D160" s="116"/>
      <c r="E160" s="116"/>
      <c r="F160" s="116"/>
      <c r="G160" s="116"/>
      <c r="H160" s="117"/>
      <c r="I160" s="1"/>
      <c r="J160" s="116"/>
      <c r="K160" s="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row>
    <row r="161">
      <c r="A161" s="116"/>
      <c r="B161" s="116"/>
      <c r="C161" s="116"/>
      <c r="D161" s="116"/>
      <c r="E161" s="116"/>
      <c r="F161" s="116"/>
      <c r="G161" s="116"/>
      <c r="H161" s="117"/>
      <c r="I161" s="1"/>
      <c r="J161" s="116"/>
      <c r="K161" s="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row>
    <row r="162">
      <c r="A162" s="116"/>
      <c r="B162" s="116"/>
      <c r="C162" s="116"/>
      <c r="D162" s="116"/>
      <c r="E162" s="116"/>
      <c r="F162" s="116"/>
      <c r="G162" s="116"/>
      <c r="H162" s="117"/>
      <c r="I162" s="1"/>
      <c r="J162" s="116"/>
      <c r="K162" s="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row>
    <row r="163">
      <c r="A163" s="116"/>
      <c r="B163" s="116"/>
      <c r="C163" s="116"/>
      <c r="D163" s="116"/>
      <c r="E163" s="116"/>
      <c r="F163" s="116"/>
      <c r="G163" s="116"/>
      <c r="H163" s="117"/>
      <c r="I163" s="1"/>
      <c r="J163" s="116"/>
      <c r="K163" s="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row>
    <row r="164">
      <c r="A164" s="116"/>
      <c r="B164" s="116"/>
      <c r="C164" s="116"/>
      <c r="D164" s="116"/>
      <c r="E164" s="116"/>
      <c r="F164" s="116"/>
      <c r="G164" s="116"/>
      <c r="H164" s="117"/>
      <c r="I164" s="1"/>
      <c r="J164" s="116"/>
      <c r="K164" s="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row>
    <row r="165">
      <c r="A165" s="116"/>
      <c r="B165" s="116"/>
      <c r="C165" s="116"/>
      <c r="D165" s="116"/>
      <c r="E165" s="116"/>
      <c r="F165" s="116"/>
      <c r="G165" s="116"/>
      <c r="H165" s="117"/>
      <c r="I165" s="1"/>
      <c r="J165" s="116"/>
      <c r="K165" s="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row>
    <row r="166">
      <c r="A166" s="116"/>
      <c r="B166" s="116"/>
      <c r="C166" s="116"/>
      <c r="D166" s="116"/>
      <c r="E166" s="116"/>
      <c r="F166" s="116"/>
      <c r="G166" s="116"/>
      <c r="H166" s="117"/>
      <c r="I166" s="1"/>
      <c r="J166" s="116"/>
      <c r="K166" s="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row>
    <row r="167">
      <c r="A167" s="116"/>
      <c r="B167" s="116"/>
      <c r="C167" s="116"/>
      <c r="D167" s="116"/>
      <c r="E167" s="116"/>
      <c r="F167" s="116"/>
      <c r="G167" s="116"/>
      <c r="H167" s="117"/>
      <c r="I167" s="1"/>
      <c r="J167" s="116"/>
      <c r="K167" s="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row>
    <row r="168">
      <c r="A168" s="116"/>
      <c r="B168" s="116"/>
      <c r="C168" s="116"/>
      <c r="D168" s="116"/>
      <c r="E168" s="116"/>
      <c r="F168" s="116"/>
      <c r="G168" s="116"/>
      <c r="H168" s="117"/>
      <c r="I168" s="1"/>
      <c r="J168" s="116"/>
      <c r="K168" s="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row>
    <row r="169">
      <c r="A169" s="116"/>
      <c r="B169" s="116"/>
      <c r="C169" s="116"/>
      <c r="D169" s="116"/>
      <c r="E169" s="116"/>
      <c r="F169" s="116"/>
      <c r="G169" s="116"/>
      <c r="H169" s="117"/>
      <c r="I169" s="1"/>
      <c r="J169" s="116"/>
      <c r="K169" s="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row>
    <row r="170">
      <c r="A170" s="116"/>
      <c r="B170" s="116"/>
      <c r="C170" s="116"/>
      <c r="D170" s="116"/>
      <c r="E170" s="116"/>
      <c r="F170" s="116"/>
      <c r="G170" s="116"/>
      <c r="H170" s="117"/>
      <c r="I170" s="1"/>
      <c r="J170" s="116"/>
      <c r="K170" s="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row>
    <row r="171">
      <c r="A171" s="116"/>
      <c r="B171" s="116"/>
      <c r="C171" s="116"/>
      <c r="D171" s="116"/>
      <c r="E171" s="116"/>
      <c r="F171" s="116"/>
      <c r="G171" s="116"/>
      <c r="H171" s="117"/>
      <c r="I171" s="1"/>
      <c r="J171" s="116"/>
      <c r="K171" s="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row>
    <row r="172">
      <c r="A172" s="116"/>
      <c r="B172" s="116"/>
      <c r="C172" s="116"/>
      <c r="D172" s="116"/>
      <c r="E172" s="116"/>
      <c r="F172" s="116"/>
      <c r="G172" s="116"/>
      <c r="H172" s="117"/>
      <c r="I172" s="1"/>
      <c r="J172" s="116"/>
      <c r="K172" s="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row>
    <row r="173">
      <c r="A173" s="116"/>
      <c r="B173" s="116"/>
      <c r="C173" s="116"/>
      <c r="D173" s="116"/>
      <c r="E173" s="116"/>
      <c r="F173" s="116"/>
      <c r="G173" s="116"/>
      <c r="H173" s="117"/>
      <c r="I173" s="1"/>
      <c r="J173" s="116"/>
      <c r="K173" s="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row>
    <row r="174">
      <c r="A174" s="116"/>
      <c r="B174" s="116"/>
      <c r="C174" s="116"/>
      <c r="D174" s="116"/>
      <c r="E174" s="116"/>
      <c r="F174" s="116"/>
      <c r="G174" s="116"/>
      <c r="H174" s="117"/>
      <c r="I174" s="1"/>
      <c r="J174" s="116"/>
      <c r="K174" s="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row>
    <row r="175">
      <c r="A175" s="116"/>
      <c r="B175" s="116"/>
      <c r="C175" s="116"/>
      <c r="D175" s="116"/>
      <c r="E175" s="116"/>
      <c r="F175" s="116"/>
      <c r="G175" s="116"/>
      <c r="H175" s="117"/>
      <c r="I175" s="1"/>
      <c r="J175" s="116"/>
      <c r="K175" s="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row>
    <row r="176">
      <c r="A176" s="116"/>
      <c r="B176" s="116"/>
      <c r="C176" s="116"/>
      <c r="D176" s="116"/>
      <c r="E176" s="116"/>
      <c r="F176" s="116"/>
      <c r="G176" s="116"/>
      <c r="H176" s="117"/>
      <c r="I176" s="1"/>
      <c r="J176" s="116"/>
      <c r="K176" s="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row>
    <row r="177">
      <c r="A177" s="116"/>
      <c r="B177" s="116"/>
      <c r="C177" s="116"/>
      <c r="D177" s="116"/>
      <c r="E177" s="116"/>
      <c r="F177" s="116"/>
      <c r="G177" s="116"/>
      <c r="H177" s="117"/>
      <c r="I177" s="1"/>
      <c r="J177" s="116"/>
      <c r="K177" s="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row>
    <row r="178">
      <c r="A178" s="116"/>
      <c r="B178" s="116"/>
      <c r="C178" s="116"/>
      <c r="D178" s="116"/>
      <c r="E178" s="116"/>
      <c r="F178" s="116"/>
      <c r="G178" s="116"/>
      <c r="H178" s="117"/>
      <c r="I178" s="1"/>
      <c r="J178" s="116"/>
      <c r="K178" s="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row>
    <row r="179">
      <c r="A179" s="116"/>
      <c r="B179" s="116"/>
      <c r="C179" s="116"/>
      <c r="D179" s="116"/>
      <c r="E179" s="116"/>
      <c r="F179" s="116"/>
      <c r="G179" s="116"/>
      <c r="H179" s="117"/>
      <c r="I179" s="1"/>
      <c r="J179" s="116"/>
      <c r="K179" s="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row>
    <row r="180">
      <c r="A180" s="116"/>
      <c r="B180" s="116"/>
      <c r="C180" s="116"/>
      <c r="D180" s="116"/>
      <c r="E180" s="116"/>
      <c r="F180" s="116"/>
      <c r="G180" s="116"/>
      <c r="H180" s="117"/>
      <c r="I180" s="1"/>
      <c r="J180" s="116"/>
      <c r="K180" s="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row>
    <row r="181">
      <c r="A181" s="116"/>
      <c r="B181" s="116"/>
      <c r="C181" s="116"/>
      <c r="D181" s="116"/>
      <c r="E181" s="116"/>
      <c r="F181" s="116"/>
      <c r="G181" s="116"/>
      <c r="H181" s="117"/>
      <c r="I181" s="1"/>
      <c r="J181" s="116"/>
      <c r="K181" s="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row>
    <row r="182">
      <c r="A182" s="116"/>
      <c r="B182" s="116"/>
      <c r="C182" s="116"/>
      <c r="D182" s="116"/>
      <c r="E182" s="116"/>
      <c r="F182" s="116"/>
      <c r="G182" s="116"/>
      <c r="H182" s="117"/>
      <c r="I182" s="1"/>
      <c r="J182" s="116"/>
      <c r="K182" s="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row>
    <row r="183">
      <c r="A183" s="116"/>
      <c r="B183" s="116"/>
      <c r="C183" s="116"/>
      <c r="D183" s="116"/>
      <c r="E183" s="116"/>
      <c r="F183" s="116"/>
      <c r="G183" s="116"/>
      <c r="H183" s="117"/>
      <c r="I183" s="1"/>
      <c r="J183" s="116"/>
      <c r="K183" s="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row>
    <row r="184">
      <c r="A184" s="116"/>
      <c r="B184" s="116"/>
      <c r="C184" s="116"/>
      <c r="D184" s="116"/>
      <c r="E184" s="116"/>
      <c r="F184" s="116"/>
      <c r="G184" s="116"/>
      <c r="H184" s="117"/>
      <c r="I184" s="1"/>
      <c r="J184" s="116"/>
      <c r="K184" s="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row>
    <row r="185">
      <c r="A185" s="116"/>
      <c r="B185" s="116"/>
      <c r="C185" s="116"/>
      <c r="D185" s="116"/>
      <c r="E185" s="116"/>
      <c r="F185" s="116"/>
      <c r="G185" s="116"/>
      <c r="H185" s="117"/>
      <c r="I185" s="1"/>
      <c r="J185" s="116"/>
      <c r="K185" s="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row>
    <row r="186">
      <c r="A186" s="116"/>
      <c r="B186" s="116"/>
      <c r="C186" s="116"/>
      <c r="D186" s="116"/>
      <c r="E186" s="116"/>
      <c r="F186" s="116"/>
      <c r="G186" s="116"/>
      <c r="H186" s="117"/>
      <c r="I186" s="1"/>
      <c r="J186" s="116"/>
      <c r="K186" s="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row>
    <row r="187">
      <c r="A187" s="116"/>
      <c r="B187" s="116"/>
      <c r="C187" s="116"/>
      <c r="D187" s="116"/>
      <c r="E187" s="116"/>
      <c r="F187" s="116"/>
      <c r="G187" s="116"/>
      <c r="H187" s="117"/>
      <c r="I187" s="1"/>
      <c r="J187" s="116"/>
      <c r="K187" s="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row>
    <row r="188">
      <c r="A188" s="116"/>
      <c r="B188" s="116"/>
      <c r="C188" s="116"/>
      <c r="D188" s="116"/>
      <c r="E188" s="116"/>
      <c r="F188" s="116"/>
      <c r="G188" s="116"/>
      <c r="H188" s="117"/>
      <c r="I188" s="1"/>
      <c r="J188" s="116"/>
      <c r="K188" s="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row>
    <row r="189">
      <c r="A189" s="116"/>
      <c r="B189" s="116"/>
      <c r="C189" s="116"/>
      <c r="D189" s="116"/>
      <c r="E189" s="116"/>
      <c r="F189" s="116"/>
      <c r="G189" s="116"/>
      <c r="H189" s="117"/>
      <c r="I189" s="1"/>
      <c r="J189" s="116"/>
      <c r="K189" s="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row>
    <row r="190">
      <c r="A190" s="116"/>
      <c r="B190" s="116"/>
      <c r="C190" s="116"/>
      <c r="D190" s="116"/>
      <c r="E190" s="116"/>
      <c r="F190" s="116"/>
      <c r="G190" s="116"/>
      <c r="H190" s="117"/>
      <c r="I190" s="1"/>
      <c r="J190" s="116"/>
      <c r="K190" s="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row>
    <row r="191">
      <c r="A191" s="116"/>
      <c r="B191" s="116"/>
      <c r="C191" s="116"/>
      <c r="D191" s="116"/>
      <c r="E191" s="116"/>
      <c r="F191" s="116"/>
      <c r="G191" s="116"/>
      <c r="H191" s="117"/>
      <c r="I191" s="1"/>
      <c r="J191" s="116"/>
      <c r="K191" s="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row>
    <row r="192">
      <c r="A192" s="116"/>
      <c r="B192" s="116"/>
      <c r="C192" s="116"/>
      <c r="D192" s="116"/>
      <c r="E192" s="116"/>
      <c r="F192" s="116"/>
      <c r="G192" s="116"/>
      <c r="H192" s="117"/>
      <c r="I192" s="1"/>
      <c r="J192" s="116"/>
      <c r="K192" s="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row>
    <row r="193">
      <c r="A193" s="116"/>
      <c r="B193" s="116"/>
      <c r="C193" s="116"/>
      <c r="D193" s="116"/>
      <c r="E193" s="116"/>
      <c r="F193" s="116"/>
      <c r="G193" s="116"/>
      <c r="H193" s="117"/>
      <c r="I193" s="1"/>
      <c r="J193" s="116"/>
      <c r="K193" s="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row>
    <row r="194">
      <c r="A194" s="116"/>
      <c r="B194" s="116"/>
      <c r="C194" s="116"/>
      <c r="D194" s="116"/>
      <c r="E194" s="116"/>
      <c r="F194" s="116"/>
      <c r="G194" s="116"/>
      <c r="H194" s="117"/>
      <c r="I194" s="1"/>
      <c r="J194" s="116"/>
      <c r="K194" s="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row>
    <row r="195">
      <c r="A195" s="116"/>
      <c r="B195" s="116"/>
      <c r="C195" s="116"/>
      <c r="D195" s="116"/>
      <c r="E195" s="116"/>
      <c r="F195" s="116"/>
      <c r="G195" s="116"/>
      <c r="H195" s="117"/>
      <c r="I195" s="1"/>
      <c r="J195" s="116"/>
      <c r="K195" s="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row>
    <row r="196">
      <c r="A196" s="116"/>
      <c r="B196" s="116"/>
      <c r="C196" s="116"/>
      <c r="D196" s="116"/>
      <c r="E196" s="116"/>
      <c r="F196" s="116"/>
      <c r="G196" s="116"/>
      <c r="H196" s="117"/>
      <c r="I196" s="1"/>
      <c r="J196" s="116"/>
      <c r="K196" s="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row>
    <row r="197">
      <c r="A197" s="116"/>
      <c r="B197" s="116"/>
      <c r="C197" s="116"/>
      <c r="D197" s="116"/>
      <c r="E197" s="116"/>
      <c r="F197" s="116"/>
      <c r="G197" s="116"/>
      <c r="H197" s="117"/>
      <c r="I197" s="1"/>
      <c r="J197" s="116"/>
      <c r="K197" s="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row>
    <row r="198">
      <c r="A198" s="116"/>
      <c r="B198" s="116"/>
      <c r="C198" s="116"/>
      <c r="D198" s="116"/>
      <c r="E198" s="116"/>
      <c r="F198" s="116"/>
      <c r="G198" s="116"/>
      <c r="H198" s="117"/>
      <c r="I198" s="1"/>
      <c r="J198" s="116"/>
      <c r="K198" s="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row>
    <row r="199">
      <c r="A199" s="116"/>
      <c r="B199" s="116"/>
      <c r="C199" s="116"/>
      <c r="D199" s="116"/>
      <c r="E199" s="116"/>
      <c r="F199" s="116"/>
      <c r="G199" s="116"/>
      <c r="H199" s="117"/>
      <c r="I199" s="1"/>
      <c r="J199" s="116"/>
      <c r="K199" s="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row>
    <row r="200">
      <c r="A200" s="116"/>
      <c r="B200" s="116"/>
      <c r="C200" s="116"/>
      <c r="D200" s="116"/>
      <c r="E200" s="116"/>
      <c r="F200" s="116"/>
      <c r="G200" s="116"/>
      <c r="H200" s="117"/>
      <c r="I200" s="1"/>
      <c r="J200" s="116"/>
      <c r="K200" s="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row>
    <row r="201">
      <c r="A201" s="116"/>
      <c r="B201" s="116"/>
      <c r="C201" s="116"/>
      <c r="D201" s="116"/>
      <c r="E201" s="116"/>
      <c r="F201" s="116"/>
      <c r="G201" s="116"/>
      <c r="H201" s="117"/>
      <c r="I201" s="1"/>
      <c r="J201" s="116"/>
      <c r="K201" s="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row>
    <row r="202">
      <c r="A202" s="116"/>
      <c r="B202" s="116"/>
      <c r="C202" s="116"/>
      <c r="D202" s="116"/>
      <c r="E202" s="116"/>
      <c r="F202" s="116"/>
      <c r="G202" s="116"/>
      <c r="H202" s="117"/>
      <c r="I202" s="1"/>
      <c r="J202" s="116"/>
      <c r="K202" s="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row>
    <row r="203">
      <c r="A203" s="116"/>
      <c r="B203" s="116"/>
      <c r="C203" s="116"/>
      <c r="D203" s="116"/>
      <c r="E203" s="116"/>
      <c r="F203" s="116"/>
      <c r="G203" s="116"/>
      <c r="H203" s="117"/>
      <c r="I203" s="1"/>
      <c r="J203" s="116"/>
      <c r="K203" s="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row>
    <row r="204">
      <c r="A204" s="116"/>
      <c r="B204" s="116"/>
      <c r="C204" s="116"/>
      <c r="D204" s="116"/>
      <c r="E204" s="116"/>
      <c r="F204" s="116"/>
      <c r="G204" s="116"/>
      <c r="H204" s="117"/>
      <c r="I204" s="1"/>
      <c r="J204" s="116"/>
      <c r="K204" s="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row>
    <row r="205">
      <c r="A205" s="116"/>
      <c r="B205" s="116"/>
      <c r="C205" s="116"/>
      <c r="D205" s="116"/>
      <c r="E205" s="116"/>
      <c r="F205" s="116"/>
      <c r="G205" s="116"/>
      <c r="H205" s="117"/>
      <c r="I205" s="1"/>
      <c r="J205" s="116"/>
      <c r="K205" s="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row>
    <row r="206">
      <c r="A206" s="116"/>
      <c r="B206" s="116"/>
      <c r="C206" s="116"/>
      <c r="D206" s="116"/>
      <c r="E206" s="116"/>
      <c r="F206" s="116"/>
      <c r="G206" s="116"/>
      <c r="H206" s="117"/>
      <c r="I206" s="1"/>
      <c r="J206" s="116"/>
      <c r="K206" s="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row>
  </sheetData>
</worksheet>
</file>

<file path=xl/worksheets/sheet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FFFFFF"/>
    <outlinePr summaryBelow="false" summaryRight="false"/>
  </sheetPr>
  <dimension ref="A1"/>
  <sheetViews>
    <sheetView showGridLines="true" workbookViewId="0"/>
  </sheetViews>
  <sheetFormatPr defaultColWidth="14" defaultRowHeight="19"/>
  <cols>
    <col collapsed="false" customWidth="true" hidden="false" max="1" min="1" style="0" width="14"/>
    <col collapsed="false" customWidth="true" hidden="false" max="2" min="2" style="0" width="14"/>
    <col collapsed="false" customWidth="true" hidden="false" max="3" min="3" style="0" width="14"/>
    <col collapsed="false" customWidth="true" hidden="false" max="4" min="4" style="0" width="14"/>
    <col collapsed="false" customWidth="true" hidden="false" max="5" min="5" style="0" width="14"/>
    <col collapsed="false" customWidth="true" hidden="false" max="6" min="6" style="0" width="14"/>
    <col collapsed="false" customWidth="true" hidden="false" max="7" min="7" style="0" width="14"/>
    <col collapsed="false" customWidth="true" hidden="false" max="8" min="8" style="0" width="14"/>
    <col collapsed="false" customWidth="true" hidden="false" max="9" min="9" style="0" width="14"/>
    <col collapsed="false" customWidth="true" hidden="false" max="10" min="10" style="0" width="14"/>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 collapsed="false" customWidth="true" hidden="false" max="22" min="22" style="0" width="14"/>
    <col collapsed="false" customWidth="true" hidden="false" max="23" min="23" style="0" width="14"/>
    <col collapsed="false" customWidth="true" hidden="false" max="24" min="24" style="0" width="14"/>
    <col collapsed="false" customWidth="true" hidden="false" max="25" min="25" style="0" width="14"/>
    <col collapsed="false" customWidth="true" hidden="false" max="26" min="26" style="0" width="14"/>
    <col collapsed="false" customWidth="true" hidden="false" max="27" min="27" style="0" width="14"/>
    <col collapsed="false" customWidth="true" hidden="false" max="28" min="28" style="0" width="14"/>
    <col collapsed="false" customWidth="true" hidden="false" max="29" min="29" style="0" width="14"/>
    <col collapsed="false" customWidth="true" hidden="false" max="30" min="30" style="0" width="14"/>
    <col collapsed="false" customWidth="true" hidden="false" max="31" min="31" style="0" width="14"/>
    <col collapsed="false" customWidth="true" hidden="false" max="32" min="32" style="0" width="14"/>
    <col collapsed="false" customWidth="true" hidden="false" max="33" min="33" style="0" width="14"/>
    <col collapsed="false" customWidth="true" hidden="false" max="34" min="34" style="0" width="14"/>
    <col collapsed="false" customWidth="true" hidden="false" max="35" min="35" style="0" width="14"/>
    <col collapsed="false" customWidth="true" hidden="false" max="36" min="36" style="0" width="14"/>
    <col collapsed="false" customWidth="true" hidden="false" max="37" min="37" style="0" width="14"/>
    <col collapsed="false" customWidth="true" hidden="false" max="38" min="38" style="0" width="14"/>
    <col collapsed="false" customWidth="true" hidden="false" max="39" min="39" style="0" width="14"/>
    <col collapsed="false" customWidth="true" hidden="false" max="40" min="40" style="0" width="14"/>
    <col collapsed="false" customWidth="true" hidden="false" max="41" min="41" style="0" width="14"/>
    <col collapsed="false" customWidth="true" hidden="false" max="42" min="42" style="0" width="14"/>
    <col collapsed="false" customWidth="true" hidden="false" max="43" min="43" style="0" width="14"/>
    <col collapsed="false" customWidth="true" hidden="false" max="44" min="44" style="0" width="14"/>
    <col collapsed="false" customWidth="true" hidden="false" max="45" min="45" style="0" width="14"/>
    <col collapsed="false" customWidth="true" hidden="false" max="46" min="46" style="0" width="14"/>
    <col collapsed="false" customWidth="true" hidden="false" max="47" min="47" style="0" width="14"/>
  </cols>
  <sheetData>
    <row customHeight="true" ht="19" r="1">
      <c r="A1" s="1" t="str"/>
      <c r="B1" s="1" t="str"/>
      <c r="C1" s="1" t="str"/>
      <c r="D1" s="111" t="str">
        <v>属性值</v>
      </c>
      <c r="E1" s="122" t="str">
        <v>流派</v>
      </c>
      <c r="F1" s="122" t="str">
        <v>sp</v>
      </c>
      <c r="G1" s="122" t="str">
        <v>属性</v>
      </c>
      <c r="H1" s="111" t="str">
        <v>污染</v>
      </c>
      <c r="I1" s="111" t="str">
        <v>带出道具或S卡</v>
      </c>
      <c r="J1" s="111" t="str">
        <v>满破属性</v>
      </c>
      <c r="K1" s="1" t="str"/>
      <c r="L1" s="111" t="str">
        <v>红感性</v>
      </c>
      <c r="M1" s="111" t="str">
        <v>红理性</v>
      </c>
      <c r="N1" s="111" t="str">
        <v>红非凡</v>
      </c>
      <c r="O1" s="111" t="str">
        <v>蓝感性</v>
      </c>
      <c r="P1" s="111" t="str">
        <v>蓝理性</v>
      </c>
      <c r="Q1" s="111" t="str">
        <v>蓝非凡</v>
      </c>
      <c r="R1" s="111" t="str">
        <v>黄感性</v>
      </c>
      <c r="S1" s="111" t="str">
        <v>黄理性</v>
      </c>
      <c r="T1" s="111" t="str">
        <v>黄非凡</v>
      </c>
      <c r="U1" s="1" t="str"/>
      <c r="V1" s="1" t="str"/>
      <c r="W1" s="1" t="str"/>
      <c r="X1" s="1" t="str"/>
      <c r="Y1" s="1" t="str"/>
      <c r="Z1" s="1" t="str"/>
      <c r="AA1" s="1" t="str"/>
      <c r="AB1" s="1" t="str"/>
      <c r="AC1" s="1" t="str"/>
      <c r="AD1" s="111" t="str">
        <v>红借卡感性非sp</v>
      </c>
      <c r="AE1" s="111" t="str">
        <v>蓝借卡感性非sp</v>
      </c>
      <c r="AF1" s="111" t="str">
        <v>黄借卡感性非sp</v>
      </c>
      <c r="AG1" s="1" t="str"/>
      <c r="AH1" s="1" t="str"/>
      <c r="AI1" s="1" t="str"/>
      <c r="AJ1" s="111" t="str">
        <v>红借卡理性非sp</v>
      </c>
      <c r="AK1" s="111" t="str">
        <v>蓝借卡理性非sp</v>
      </c>
      <c r="AL1" s="111" t="str">
        <v>黄借卡理性非sp</v>
      </c>
      <c r="AM1" s="1" t="str"/>
      <c r="AN1" s="1" t="str"/>
      <c r="AO1" s="1" t="str"/>
      <c r="AP1" s="111" t="str">
        <v>红借卡非凡非sp</v>
      </c>
      <c r="AQ1" s="111" t="str">
        <v>蓝借卡非凡非sp</v>
      </c>
      <c r="AR1" s="111" t="str">
        <v>黄借卡非凡非sp</v>
      </c>
    </row>
    <row customHeight="true" ht="19" r="2">
      <c r="A2" s="99" t="str">
        <v>利用し合うのが友達！（黄毛摸鱼）</v>
      </c>
      <c r="B2" s="99" t="str"/>
      <c r="C2" s="99" t="str"/>
      <c r="D2" s="116">
        <f>IF(路线!B4="计算",持有情况!S114,持有情况!R112)-ROW()*1e-05</f>
      </c>
      <c r="E2" s="117">
        <v>0</v>
      </c>
      <c r="F2" s="117">
        <v>0</v>
      </c>
      <c r="G2" s="116">
        <v>2</v>
      </c>
      <c r="H2" s="116">
        <v>1</v>
      </c>
      <c r="I2" s="1" t="str"/>
      <c r="J2" s="116">
        <f>IF(路线!B4="计算",INT(60+22+21*IF(路线!B38&lt;=3,路线!B38,3)+7*路线!B30+40+20),INT(60+22+21*IF(路线!B38&lt;=3,路线!B38,3)+7*路线!B30+40))-ROW()*1e-05</f>
      </c>
      <c r="K2" s="1" t="str"/>
      <c r="L2" s="111">
        <f>IF(AND(OR(E2=1,E2=0),G2=1),D2,"")</f>
      </c>
      <c r="M2" s="111">
        <f>IF(AND(OR(E2=2,E2=0),G2=1),D2,"")</f>
      </c>
      <c r="N2" s="111">
        <f>IF(AND(OR(E2=3,E2=0),G2=1),D2,"")</f>
      </c>
      <c r="O2" s="111">
        <f>IF(AND(OR(E2=1,E2=0),G2=2),D2,"")</f>
      </c>
      <c r="P2" s="111">
        <f>IF(AND(OR(E2=2,E2=0),G2=2),D2,"")</f>
      </c>
      <c r="Q2" s="111">
        <f>IF(AND(OR(E2=3,E2=0),G2=2),D2,"")</f>
      </c>
      <c r="R2" s="111">
        <f>IF(AND(OR(E2=1,E2=0),G2=3),D2,"")</f>
      </c>
      <c r="S2" s="111">
        <f>IF(AND(OR(E2=2,E2=0),G2=3),D2,"")</f>
      </c>
      <c r="T2" s="111">
        <f>IF(AND(OR(E2=3,E2=0),G2=3),D2,"")</f>
      </c>
      <c r="U2" s="1" t="str"/>
      <c r="V2" s="1" t="str"/>
      <c r="W2" s="1" t="str"/>
      <c r="X2" s="1" t="str"/>
      <c r="Y2" s="1" t="str"/>
      <c r="Z2" s="1" t="str"/>
      <c r="AA2" s="1" t="str"/>
      <c r="AB2" s="1" t="str"/>
      <c r="AC2" s="1" t="str"/>
      <c r="AD2" s="111">
        <f>IF(AND(OR(E2=1,E2=0),G2=1),J2,"")</f>
      </c>
      <c r="AE2" s="111">
        <f>IF(AND(OR(E2=1,E2=0),G2=2),J2,"")</f>
      </c>
      <c r="AF2" s="111">
        <f>IF(AND(OR(E2=1,E2=0),G2=3),J2,"")</f>
      </c>
      <c r="AG2" s="1" t="str"/>
      <c r="AH2" s="1" t="str"/>
      <c r="AI2" s="1" t="str"/>
      <c r="AJ2" s="111">
        <f>IF(AND(OR(E2=2,E2=0),G2=1),J2,"")</f>
      </c>
      <c r="AK2" s="111">
        <f>IF(AND(OR(E2=2,E2=0),G2=2),J2,"")</f>
      </c>
      <c r="AL2" s="111">
        <f>IF(AND(OR(E2=2,E2=0),G2=3),J2,"")</f>
      </c>
      <c r="AM2" s="1" t="str"/>
      <c r="AN2" s="1" t="str"/>
      <c r="AO2" s="1" t="str"/>
      <c r="AP2" s="111">
        <f>IF(AND(OR(E2=3,E2=0),G2=1),J2,"")</f>
      </c>
      <c r="AQ2" s="111">
        <f>IF(AND(OR(E2=3,E2=0),G2=2),J2,"")</f>
      </c>
      <c r="AR2" s="111">
        <f>IF(AND(OR(E2=3,E2=0),G2=3),J2,"")</f>
      </c>
    </row>
    <row customHeight="true" ht="19" r="3">
      <c r="A3" s="75" t="str">
        <v>2名様、ご案内～♪（毛球偷吃）</v>
      </c>
      <c r="B3" s="75" t="str"/>
      <c r="C3" s="75" t="str"/>
      <c r="D3" s="116">
        <f>IF(路线!B4="计算",持有情况!AM84,持有情况!AL82)-ROW()*1e-05</f>
      </c>
      <c r="E3" s="117">
        <v>0</v>
      </c>
      <c r="F3" s="117">
        <v>0</v>
      </c>
      <c r="G3" s="116">
        <v>1</v>
      </c>
      <c r="H3" s="117">
        <v>0</v>
      </c>
      <c r="I3" s="1" t="str"/>
      <c r="J3" s="116">
        <f>IF(路线!B4="计算",INT(45+10*路线!B31+5*路线!B30+3*(路线!B28+路线!B29)+30+持有情况!AM81),INT(45+10*路线!B31+5*路线!B30+3*(路线!B28+路线!B29)+30))-ROW()*1e-05</f>
      </c>
      <c r="K3" s="1" t="str"/>
      <c r="L3" s="111">
        <f>IF(AND(OR(E3=1,E3=0),G3=1),D3,"")</f>
      </c>
      <c r="M3" s="111">
        <f>IF(AND(OR(E3=2,E3=0),G3=1),D3,"")</f>
      </c>
      <c r="N3" s="111">
        <f>IF(AND(OR(E3=3,E3=0),G3=1),D3,"")</f>
      </c>
      <c r="O3" s="111">
        <f>IF(AND(OR(E3=1,E3=0),G3=2),D3,"")</f>
      </c>
      <c r="P3" s="111">
        <f>IF(AND(OR(E3=2,E3=0),G3=2),D3,"")</f>
      </c>
      <c r="Q3" s="111">
        <f>IF(AND(OR(E3=3,E3=0),G3=2),D3,"")</f>
      </c>
      <c r="R3" s="111">
        <f>IF(AND(OR(E3=1,E3=0),G3=3),D3,"")</f>
      </c>
      <c r="S3" s="111">
        <f>IF(AND(OR(E3=2,E3=0),G3=3),D3,"")</f>
      </c>
      <c r="T3" s="111">
        <f>IF(AND(OR(E3=3,E3=0),G3=3),D3,"")</f>
      </c>
      <c r="U3" s="1" t="str"/>
      <c r="V3" s="1" t="str"/>
      <c r="W3" s="1" t="str"/>
      <c r="X3" s="1" t="str"/>
      <c r="Y3" s="1" t="str"/>
      <c r="Z3" s="1" t="str"/>
      <c r="AA3" s="1" t="str"/>
      <c r="AB3" s="1" t="str"/>
      <c r="AC3" s="1" t="str"/>
      <c r="AD3" s="111">
        <f>IF(AND(OR(E3=1,E3=0),G3=1),J3,"")</f>
      </c>
      <c r="AE3" s="111">
        <f>IF(AND(OR(E3=1,E3=0),G3=2),J3,"")</f>
      </c>
      <c r="AF3" s="111">
        <f>IF(AND(OR(E3=1,E3=0),G3=3),J3,"")</f>
      </c>
      <c r="AG3" s="1" t="str"/>
      <c r="AH3" s="1" t="str"/>
      <c r="AI3" s="1" t="str"/>
      <c r="AJ3" s="111">
        <f>IF(AND(OR(E3=2,E3=0),G3=1),J3,"")</f>
      </c>
      <c r="AK3" s="111">
        <f>IF(AND(OR(E3=2,E3=0),G3=2),J3,"")</f>
      </c>
      <c r="AL3" s="111">
        <f>IF(AND(OR(E3=2,E3=0),G3=3),J3,"")</f>
      </c>
      <c r="AM3" s="1" t="str"/>
      <c r="AN3" s="1" t="str"/>
      <c r="AO3" s="1" t="str"/>
      <c r="AP3" s="111">
        <f>IF(AND(OR(E3=3,E3=0),G3=1),J3,"")</f>
      </c>
      <c r="AQ3" s="111">
        <f>IF(AND(OR(E3=3,E3=0),G3=2),J3,"")</f>
      </c>
      <c r="AR3" s="111">
        <f>IF(AND(OR(E3=3,E3=0),G3=3),J3,"")</f>
      </c>
    </row>
    <row customHeight="true" ht="19" r="4">
      <c r="A4" s="75" t="str">
        <v>相変わらず不器用ね（幼驯染）</v>
      </c>
      <c r="B4" s="75" t="str"/>
      <c r="C4" s="75" t="str"/>
      <c r="D4" s="116">
        <f>持有情况!H100-ROW()*1e-05</f>
      </c>
      <c r="E4" s="116">
        <v>2</v>
      </c>
      <c r="F4" s="117">
        <v>0</v>
      </c>
      <c r="G4" s="116">
        <v>1</v>
      </c>
      <c r="H4" s="117">
        <v>0</v>
      </c>
      <c r="I4" s="1" t="str"/>
      <c r="J4" s="116">
        <f>INT(60+4*路线!B27+17*路线!B21+15*路线!B31+40)-ROW()*1e-05</f>
      </c>
      <c r="K4" s="1" t="str"/>
      <c r="L4" s="111">
        <f>IF(AND(OR(E4=1,E4=0),G4=1),D4,"")</f>
      </c>
      <c r="M4" s="111">
        <f>IF(AND(OR(E4=2,E4=0),G4=1),D4,"")</f>
      </c>
      <c r="N4" s="111">
        <f>IF(AND(OR(E4=3,E4=0),G4=1),D4,"")</f>
      </c>
      <c r="O4" s="111">
        <f>IF(AND(OR(E4=1,E4=0),G4=2),D4,"")</f>
      </c>
      <c r="P4" s="111">
        <f>IF(AND(OR(E4=2,E4=0),G4=2),D4,"")</f>
      </c>
      <c r="Q4" s="111">
        <f>IF(AND(OR(E4=3,E4=0),G4=2),D4,"")</f>
      </c>
      <c r="R4" s="111">
        <f>IF(AND(OR(E4=1,E4=0),G4=3),D4,"")</f>
      </c>
      <c r="S4" s="111">
        <f>IF(AND(OR(E4=2,E4=0),G4=3),D4,"")</f>
      </c>
      <c r="T4" s="111">
        <f>IF(AND(OR(E4=3,E4=0),G4=3),D4,"")</f>
      </c>
      <c r="U4" s="1" t="str"/>
      <c r="V4" s="1" t="str"/>
      <c r="W4" s="1" t="str"/>
      <c r="X4" s="1" t="str"/>
      <c r="Y4" s="1" t="str"/>
      <c r="Z4" s="1" t="str"/>
      <c r="AA4" s="1" t="str"/>
      <c r="AB4" s="1" t="str"/>
      <c r="AC4" s="1" t="str"/>
      <c r="AD4" s="111">
        <f>IF(AND(OR(E4=1,E4=0),G4=1),J4,"")</f>
      </c>
      <c r="AE4" s="111">
        <f>IF(AND(OR(E4=1,E4=0),G4=2),J4,"")</f>
      </c>
      <c r="AF4" s="111">
        <f>IF(AND(OR(E4=1,E4=0),G4=3),J4,"")</f>
      </c>
      <c r="AG4" s="1" t="str"/>
      <c r="AH4" s="1" t="str"/>
      <c r="AI4" s="1" t="str"/>
      <c r="AJ4" s="111">
        <f>IF(AND(OR(E4=2,E4=0),G4=1),J4,"")</f>
      </c>
      <c r="AK4" s="111">
        <f>IF(AND(OR(E4=2,E4=0),G4=2),J4,"")</f>
      </c>
      <c r="AL4" s="111">
        <f>IF(AND(OR(E4=2,E4=0),G4=3),J4,"")</f>
      </c>
      <c r="AM4" s="1" t="str"/>
      <c r="AN4" s="1" t="str"/>
      <c r="AO4" s="1" t="str"/>
      <c r="AP4" s="111">
        <f>IF(AND(OR(E4=3,E4=0),G4=1),J4,"")</f>
      </c>
      <c r="AQ4" s="111">
        <f>IF(AND(OR(E4=3,E4=0),G4=2),J4,"")</f>
      </c>
      <c r="AR4" s="111">
        <f>IF(AND(OR(E4=3,E4=0),G4=3),J4,"")</f>
      </c>
    </row>
    <row customHeight="true" ht="19" r="5">
      <c r="A5" s="86" t="str">
        <v>奥義、三重とび！（花式跳绳）</v>
      </c>
      <c r="B5" s="86" t="str"/>
      <c r="C5" s="86" t="str"/>
      <c r="D5" s="116">
        <f>IF(路线!B4="计算",持有情况!BG84,持有情况!BF82)-ROW()*1e-05</f>
      </c>
      <c r="E5" s="116">
        <v>3</v>
      </c>
      <c r="F5" s="117">
        <v>0</v>
      </c>
      <c r="G5" s="116">
        <v>3</v>
      </c>
      <c r="H5" s="117">
        <v>0</v>
      </c>
      <c r="I5" s="1" t="str"/>
      <c r="J5" s="116">
        <f>IF(路线!B4="计算",INT(45+6*路线!B29+17+5*路线!B30+30+持有情况!BG81),INT(45+6*路线!B29+17+5*路线!B30+30))-ROW()*1e-05</f>
      </c>
      <c r="K5" s="1" t="str"/>
      <c r="L5" s="111">
        <f>IF(AND(OR(E5=1,E5=0),G5=1),D5,"")</f>
      </c>
      <c r="M5" s="111">
        <f>IF(AND(OR(E5=2,E5=0),G5=1),D5,"")</f>
      </c>
      <c r="N5" s="111">
        <f>IF(AND(OR(E5=3,E5=0),G5=1),D5,"")</f>
      </c>
      <c r="O5" s="111">
        <f>IF(AND(OR(E5=1,E5=0),G5=2),D5,"")</f>
      </c>
      <c r="P5" s="111">
        <f>IF(AND(OR(E5=2,E5=0),G5=2),D5,"")</f>
      </c>
      <c r="Q5" s="111">
        <f>IF(AND(OR(E5=3,E5=0),G5=2),D5,"")</f>
      </c>
      <c r="R5" s="111">
        <f>IF(AND(OR(E5=1,E5=0),G5=3),D5,"")</f>
      </c>
      <c r="S5" s="111">
        <f>IF(AND(OR(E5=2,E5=0),G5=3),D5,"")</f>
      </c>
      <c r="T5" s="111">
        <f>IF(AND(OR(E5=3,E5=0),G5=3),D5,"")</f>
      </c>
      <c r="U5" s="1" t="str"/>
      <c r="V5" s="1" t="str"/>
      <c r="W5" s="1" t="str"/>
      <c r="X5" s="1" t="str"/>
      <c r="Y5" s="1" t="str"/>
      <c r="Z5" s="1" t="str"/>
      <c r="AA5" s="1" t="str"/>
      <c r="AB5" s="1" t="str"/>
      <c r="AC5" s="1" t="str"/>
      <c r="AD5" s="111">
        <f>IF(AND(OR(E5=1,E5=0),G5=1),J5,"")</f>
      </c>
      <c r="AE5" s="111">
        <f>IF(AND(OR(E5=1,E5=0),G5=2),J5,"")</f>
      </c>
      <c r="AF5" s="111">
        <f>IF(AND(OR(E5=1,E5=0),G5=3),J5,"")</f>
      </c>
      <c r="AG5" s="1" t="str"/>
      <c r="AH5" s="1" t="str"/>
      <c r="AI5" s="1" t="str"/>
      <c r="AJ5" s="111">
        <f>IF(AND(OR(E5=2,E5=0),G5=1),J5,"")</f>
      </c>
      <c r="AK5" s="111">
        <f>IF(AND(OR(E5=2,E5=0),G5=2),J5,"")</f>
      </c>
      <c r="AL5" s="111">
        <f>IF(AND(OR(E5=2,E5=0),G5=3),J5,"")</f>
      </c>
      <c r="AM5" s="1" t="str"/>
      <c r="AN5" s="1" t="str"/>
      <c r="AO5" s="1" t="str"/>
      <c r="AP5" s="111">
        <f>IF(AND(OR(E5=3,E5=0),G5=1),J5,"")</f>
      </c>
      <c r="AQ5" s="111">
        <f>IF(AND(OR(E5=3,E5=0),G5=2),J5,"")</f>
      </c>
      <c r="AR5" s="111">
        <f>IF(AND(OR(E5=3,E5=0),G5=3),J5,"")</f>
      </c>
    </row>
    <row customHeight="true" ht="19" r="6">
      <c r="A6" s="86" t="str">
        <v>新生活のはじまりだね（米袋）</v>
      </c>
      <c r="B6" s="86" t="str"/>
      <c r="C6" s="86" t="str"/>
      <c r="D6" s="116">
        <f>IF(路线!B4="计算",持有情况!AC102,持有情况!AB100)-ROW()*1e-05</f>
      </c>
      <c r="E6" s="116">
        <v>3</v>
      </c>
      <c r="F6" s="116">
        <v>1</v>
      </c>
      <c r="G6" s="116">
        <v>3</v>
      </c>
      <c r="H6" s="116">
        <v>1</v>
      </c>
      <c r="I6" s="1" t="str"/>
      <c r="J6" s="116">
        <f>IF(路线!B4="计算",INT(60+6*路线!B20+4*路线!B26+40+持有情况!AC99),INT(60+6*路线!B20+4*路线!B26+40))-ROW()*1e-05</f>
      </c>
      <c r="K6" s="1" t="str"/>
      <c r="L6" s="111">
        <f>IF(AND(OR(E6=1,E6=0),G6=1),D6,"")</f>
      </c>
      <c r="M6" s="111">
        <f>IF(AND(OR(E6=2,E6=0),G6=1),D6,"")</f>
      </c>
      <c r="N6" s="111">
        <f>IF(AND(OR(E6=3,E6=0),G6=1),D6,"")</f>
      </c>
      <c r="O6" s="111">
        <f>IF(AND(OR(E6=1,E6=0),G6=2),D6,"")</f>
      </c>
      <c r="P6" s="111">
        <f>IF(AND(OR(E6=2,E6=0),G6=2),D6,"")</f>
      </c>
      <c r="Q6" s="111">
        <f>IF(AND(OR(E6=3,E6=0),G6=2),D6,"")</f>
      </c>
      <c r="R6" s="111">
        <f>IF(AND(OR(E6=1,E6=0),G6=3),D6,"")</f>
      </c>
      <c r="S6" s="111">
        <f>IF(AND(OR(E6=2,E6=0),G6=3),D6,"")</f>
      </c>
      <c r="T6" s="111">
        <f>IF(AND(OR(E6=3,E6=0),G6=3),D6,"")</f>
      </c>
      <c r="U6" s="1" t="str"/>
      <c r="V6" s="1" t="str"/>
      <c r="W6" s="1" t="str"/>
      <c r="X6" s="1" t="str"/>
      <c r="Y6" s="1" t="str"/>
      <c r="Z6" s="1" t="str"/>
      <c r="AA6" s="1" t="str"/>
      <c r="AB6" s="1" t="str"/>
      <c r="AC6" s="1" t="str"/>
      <c r="AD6" s="111">
        <f>IF(AND(OR(E6=1,E6=0),G6=1),J6,"")</f>
      </c>
      <c r="AE6" s="111">
        <f>IF(AND(OR(E6=1,E6=0),G6=2),J6,"")</f>
      </c>
      <c r="AF6" s="111">
        <f>IF(AND(OR(E6=1,E6=0),G6=3),J6,"")</f>
      </c>
      <c r="AG6" s="1" t="str"/>
      <c r="AH6" s="1" t="str"/>
      <c r="AI6" s="1" t="str"/>
      <c r="AJ6" s="111">
        <f>IF(AND(OR(E6=2,E6=0),G6=1),J6,"")</f>
      </c>
      <c r="AK6" s="111">
        <f>IF(AND(OR(E6=2,E6=0),G6=2),J6,"")</f>
      </c>
      <c r="AL6" s="111">
        <f>IF(AND(OR(E6=2,E6=0),G6=3),J6,"")</f>
      </c>
      <c r="AM6" s="1" t="str"/>
      <c r="AN6" s="1" t="str"/>
      <c r="AO6" s="1" t="str"/>
      <c r="AP6" s="111">
        <f>IF(AND(OR(E6=3,E6=0),G6=1),J6,"")</f>
      </c>
      <c r="AQ6" s="111">
        <f>IF(AND(OR(E6=3,E6=0),G6=2),J6,"")</f>
      </c>
      <c r="AR6" s="111">
        <f>IF(AND(OR(E6=3,E6=0),G6=3),J6,"")</f>
      </c>
    </row>
    <row customHeight="true" ht="19" r="7">
      <c r="A7" s="99" t="str">
        <v>嬉し恥ずかし夢心地（姐姐百科）</v>
      </c>
      <c r="B7" s="99" t="str"/>
      <c r="C7" s="99" t="str"/>
      <c r="D7" s="116">
        <f>IF(路线!B4="计算",持有情况!AW12,持有情况!AV10)-ROW()*1e-05</f>
      </c>
      <c r="E7" s="117">
        <v>0</v>
      </c>
      <c r="F7" s="117">
        <v>0</v>
      </c>
      <c r="G7" s="116">
        <v>2</v>
      </c>
      <c r="H7" s="117">
        <v>0</v>
      </c>
      <c r="I7" s="1" t="str"/>
      <c r="J7" s="116">
        <f>IF(路线!B4="计算",INT(45+5*路线!B30+13*路线!B22+30+持有情况!AM15),INT(45+5*路线!B30+13*路线!B22+30))-ROW()*1e-05</f>
      </c>
      <c r="K7" s="1" t="str"/>
      <c r="L7" s="111">
        <f>IF(AND(OR(E7=1,E7=0),G7=1),D7,"")</f>
      </c>
      <c r="M7" s="111">
        <f>IF(AND(OR(E7=2,E7=0),G7=1),D7,"")</f>
      </c>
      <c r="N7" s="111">
        <f>IF(AND(OR(E7=3,E7=0),G7=1),D7,"")</f>
      </c>
      <c r="O7" s="111">
        <f>IF(AND(OR(E7=1,E7=0),G7=2),D7,"")</f>
      </c>
      <c r="P7" s="111">
        <f>IF(AND(OR(E7=2,E7=0),G7=2),D7,"")</f>
      </c>
      <c r="Q7" s="111">
        <f>IF(AND(OR(E7=3,E7=0),G7=2),D7,"")</f>
      </c>
      <c r="R7" s="111">
        <f>IF(AND(OR(E7=1,E7=0),G7=3),D7,"")</f>
      </c>
      <c r="S7" s="111">
        <f>IF(AND(OR(E7=2,E7=0),G7=3),D7,"")</f>
      </c>
      <c r="T7" s="111">
        <f>IF(AND(OR(E7=3,E7=0),G7=3),D7,"")</f>
      </c>
      <c r="U7" s="1" t="str"/>
      <c r="V7" s="1" t="str"/>
      <c r="W7" s="1" t="str"/>
      <c r="X7" s="1" t="str"/>
      <c r="Y7" s="1" t="str"/>
      <c r="Z7" s="1" t="str"/>
      <c r="AA7" s="1" t="str"/>
      <c r="AB7" s="1" t="str"/>
      <c r="AC7" s="1" t="str"/>
      <c r="AD7" s="111">
        <f>IF(AND(OR(E7=1,E7=0),G7=1),J7,"")</f>
      </c>
      <c r="AE7" s="111">
        <f>IF(AND(OR(E7=1,E7=0),G7=2),J7,"")</f>
      </c>
      <c r="AF7" s="111">
        <f>IF(AND(OR(E7=1,E7=0),G7=3),J7,"")</f>
      </c>
      <c r="AG7" s="1" t="str"/>
      <c r="AH7" s="1" t="str"/>
      <c r="AI7" s="1" t="str"/>
      <c r="AJ7" s="111">
        <f>IF(AND(OR(E7=2,E7=0),G7=1),J7,"")</f>
      </c>
      <c r="AK7" s="111">
        <f>IF(AND(OR(E7=2,E7=0),G7=2),J7,"")</f>
      </c>
      <c r="AL7" s="111">
        <f>IF(AND(OR(E7=2,E7=0),G7=3),J7,"")</f>
      </c>
      <c r="AM7" s="1" t="str"/>
      <c r="AN7" s="1" t="str"/>
      <c r="AO7" s="1" t="str"/>
      <c r="AP7" s="111">
        <f>IF(AND(OR(E7=3,E7=0),G7=1),J7,"")</f>
      </c>
      <c r="AQ7" s="111">
        <f>IF(AND(OR(E7=3,E7=0),G7=2),J7,"")</f>
      </c>
      <c r="AR7" s="111">
        <f>IF(AND(OR(E7=3,E7=0),G7=3),J7,"")</f>
      </c>
    </row>
    <row customHeight="true" ht="19" r="8">
      <c r="A8" s="75" t="str">
        <v>愛無き暗記は難しい（永年）</v>
      </c>
      <c r="B8" s="75" t="str"/>
      <c r="C8" s="75" t="str"/>
      <c r="D8" s="116">
        <f>IF(路线!B4="计算",持有情况!AM18,持有情况!AL16)-ROW()*1e-05</f>
      </c>
      <c r="E8" s="117">
        <v>0</v>
      </c>
      <c r="F8" s="117">
        <v>0</v>
      </c>
      <c r="G8" s="116">
        <v>1</v>
      </c>
      <c r="H8" s="117">
        <v>0</v>
      </c>
      <c r="I8" s="1" t="str"/>
      <c r="J8" s="116">
        <f>IF(路线!B4="计算",INT(45+5*路线!B30+13*路线!B22+30+持有情况!AM15),INT(45+5*路线!B30+13*路线!B22+30))-ROW()*1e-05</f>
      </c>
      <c r="K8" s="1" t="str"/>
      <c r="L8" s="111">
        <f>IF(AND(OR(E8=1,E8=0),G8=1),D8,"")</f>
      </c>
      <c r="M8" s="111">
        <f>IF(AND(OR(E8=2,E8=0),G8=1),D8,"")</f>
      </c>
      <c r="N8" s="111">
        <f>IF(AND(OR(E8=3,E8=0),G8=1),D8,"")</f>
      </c>
      <c r="O8" s="111">
        <f>IF(AND(OR(E8=1,E8=0),G8=2),D8,"")</f>
      </c>
      <c r="P8" s="111">
        <f>IF(AND(OR(E8=2,E8=0),G8=2),D8,"")</f>
      </c>
      <c r="Q8" s="111">
        <f>IF(AND(OR(E8=3,E8=0),G8=2),D8,"")</f>
      </c>
      <c r="R8" s="111">
        <f>IF(AND(OR(E8=1,E8=0),G8=3),D8,"")</f>
      </c>
      <c r="S8" s="111">
        <f>IF(AND(OR(E8=2,E8=0),G8=3),D8,"")</f>
      </c>
      <c r="T8" s="111">
        <f>IF(AND(OR(E8=3,E8=0),G8=3),D8,"")</f>
      </c>
      <c r="U8" s="1" t="str"/>
      <c r="V8" s="1" t="str"/>
      <c r="W8" s="1" t="str"/>
      <c r="X8" s="1" t="str"/>
      <c r="Y8" s="1" t="str"/>
      <c r="Z8" s="1" t="str"/>
      <c r="AA8" s="1" t="str"/>
      <c r="AB8" s="1" t="str"/>
      <c r="AC8" s="1" t="str"/>
      <c r="AD8" s="111">
        <f>IF(AND(OR(E8=1,E8=0),G8=1),J8,"")</f>
      </c>
      <c r="AE8" s="111">
        <f>IF(AND(OR(E8=1,E8=0),G8=2),J8,"")</f>
      </c>
      <c r="AF8" s="111">
        <f>IF(AND(OR(E8=1,E8=0),G8=3),J8,"")</f>
      </c>
      <c r="AG8" s="1" t="str"/>
      <c r="AH8" s="1" t="str"/>
      <c r="AI8" s="1" t="str"/>
      <c r="AJ8" s="111">
        <f>IF(AND(OR(E8=2,E8=0),G8=1),J8,"")</f>
      </c>
      <c r="AK8" s="111">
        <f>IF(AND(OR(E8=2,E8=0),G8=2),J8,"")</f>
      </c>
      <c r="AL8" s="111">
        <f>IF(AND(OR(E8=2,E8=0),G8=3),J8,"")</f>
      </c>
      <c r="AM8" s="1" t="str"/>
      <c r="AN8" s="1" t="str"/>
      <c r="AO8" s="1" t="str"/>
      <c r="AP8" s="111">
        <f>IF(AND(OR(E8=3,E8=0),G8=1),J8,"")</f>
      </c>
      <c r="AQ8" s="111">
        <f>IF(AND(OR(E8=3,E8=0),G8=2),J8,"")</f>
      </c>
      <c r="AR8" s="111">
        <f>IF(AND(OR(E8=3,E8=0),G8=3),J8,"")</f>
      </c>
    </row>
    <row customHeight="true" ht="19" r="9">
      <c r="A9" s="86" t="str">
        <v>新たな挑戦の成功ですわ！（黄书签）</v>
      </c>
      <c r="B9" s="86" t="str"/>
      <c r="C9" s="86" t="str"/>
      <c r="D9" s="116">
        <f>IF(路线!B4="计算",持有情况!AC66,持有情况!AB64)-ROW()*1e-05</f>
      </c>
      <c r="E9" s="117">
        <v>0</v>
      </c>
      <c r="F9" s="116">
        <v>1</v>
      </c>
      <c r="G9" s="116">
        <v>3</v>
      </c>
      <c r="H9" s="117">
        <v>0</v>
      </c>
      <c r="I9" s="1" t="str"/>
      <c r="J9" s="116">
        <f>IF(路线!B4="计算",INT(60+6*路线!B20+3*路线!B23+40+持有情况!AC63),INT(60+6*路线!B20+3*路线!B23+40))-ROW()*1e-05</f>
      </c>
      <c r="K9" s="1" t="str"/>
      <c r="L9" s="111">
        <f>IF(AND(OR(E9=1,E9=0),G9=1),D9,"")</f>
      </c>
      <c r="M9" s="111">
        <f>IF(AND(OR(E9=2,E9=0),G9=1),D9,"")</f>
      </c>
      <c r="N9" s="111">
        <f>IF(AND(OR(E9=3,E9=0),G9=1),D9,"")</f>
      </c>
      <c r="O9" s="111">
        <f>IF(AND(OR(E9=1,E9=0),G9=2),D9,"")</f>
      </c>
      <c r="P9" s="111">
        <f>IF(AND(OR(E9=2,E9=0),G9=2),D9,"")</f>
      </c>
      <c r="Q9" s="111">
        <f>IF(AND(OR(E9=3,E9=0),G9=2),D9,"")</f>
      </c>
      <c r="R9" s="111">
        <f>IF(AND(OR(E9=1,E9=0),G9=3),D9,"")</f>
      </c>
      <c r="S9" s="111">
        <f>IF(AND(OR(E9=2,E9=0),G9=3),D9,"")</f>
      </c>
      <c r="T9" s="111">
        <f>IF(AND(OR(E9=3,E9=0),G9=3),D9,"")</f>
      </c>
      <c r="U9" s="1" t="str"/>
      <c r="V9" s="1" t="str"/>
      <c r="W9" s="1" t="str"/>
      <c r="X9" s="1" t="str"/>
      <c r="Y9" s="1" t="str"/>
      <c r="Z9" s="1" t="str"/>
      <c r="AA9" s="1" t="str"/>
      <c r="AB9" s="1" t="str"/>
      <c r="AC9" s="1" t="str"/>
      <c r="AD9" s="111">
        <f>IF(AND(OR(E9=1,E9=0),G9=1),J9,"")</f>
      </c>
      <c r="AE9" s="111">
        <f>IF(AND(OR(E9=1,E9=0),G9=2),J9,"")</f>
      </c>
      <c r="AF9" s="111">
        <f>IF(AND(OR(E9=1,E9=0),G9=3),J9,"")</f>
      </c>
      <c r="AG9" s="1" t="str"/>
      <c r="AH9" s="1" t="str"/>
      <c r="AI9" s="1" t="str"/>
      <c r="AJ9" s="111">
        <f>IF(AND(OR(E9=2,E9=0),G9=1),J9,"")</f>
      </c>
      <c r="AK9" s="111">
        <f>IF(AND(OR(E9=2,E9=0),G9=2),J9,"")</f>
      </c>
      <c r="AL9" s="111">
        <f>IF(AND(OR(E9=2,E9=0),G9=3),J9,"")</f>
      </c>
      <c r="AM9" s="1" t="str"/>
      <c r="AN9" s="1" t="str"/>
      <c r="AO9" s="1" t="str"/>
      <c r="AP9" s="111">
        <f>IF(AND(OR(E9=3,E9=0),G9=1),J9,"")</f>
      </c>
      <c r="AQ9" s="111">
        <f>IF(AND(OR(E9=3,E9=0),G9=2),J9,"")</f>
      </c>
      <c r="AR9" s="111">
        <f>IF(AND(OR(E9=3,E9=0),G9=3),J9,"")</f>
      </c>
    </row>
    <row customHeight="true" ht="19" r="10">
      <c r="A10" s="75" t="str">
        <v>絶対にお渡ししますわっ！（巧克力）</v>
      </c>
      <c r="B10" s="75" t="str"/>
      <c r="C10" s="75" t="str"/>
      <c r="D10" s="116">
        <f>持有情况!H88-ROW()*1e-05</f>
      </c>
      <c r="E10" s="116">
        <v>2</v>
      </c>
      <c r="F10" s="116">
        <v>1</v>
      </c>
      <c r="G10" s="116">
        <v>1</v>
      </c>
      <c r="H10" s="116">
        <v>1</v>
      </c>
      <c r="I10" s="111" t="str">
        <v>巧克力</v>
      </c>
      <c r="J10" s="116">
        <f>INT(60+6*路线!B20+15*路线!B31+40)-ROW()*1e-05</f>
      </c>
      <c r="K10" s="1" t="str"/>
      <c r="L10" s="111">
        <f>IF(AND(OR(E10=1,E10=0),G10=1),D10,"")</f>
      </c>
      <c r="M10" s="111">
        <f>IF(AND(OR(E10=2,E10=0),G10=1),D10,"")</f>
      </c>
      <c r="N10" s="111">
        <f>IF(AND(OR(E10=3,E10=0),G10=1),D10,"")</f>
      </c>
      <c r="O10" s="111">
        <f>IF(AND(OR(E10=1,E10=0),G10=2),D10,"")</f>
      </c>
      <c r="P10" s="111">
        <f>IF(AND(OR(E10=2,E10=0),G10=2),D10,"")</f>
      </c>
      <c r="Q10" s="111">
        <f>IF(AND(OR(E10=3,E10=0),G10=2),D10,"")</f>
      </c>
      <c r="R10" s="111">
        <f>IF(AND(OR(E10=1,E10=0),G10=3),D10,"")</f>
      </c>
      <c r="S10" s="111">
        <f>IF(AND(OR(E10=2,E10=0),G10=3),D10,"")</f>
      </c>
      <c r="T10" s="111">
        <f>IF(AND(OR(E10=3,E10=0),G10=3),D10,"")</f>
      </c>
      <c r="U10" s="1" t="str"/>
      <c r="V10" s="1" t="str"/>
      <c r="W10" s="1" t="str"/>
      <c r="X10" s="1" t="str"/>
      <c r="Y10" s="1" t="str"/>
      <c r="Z10" s="1" t="str"/>
      <c r="AA10" s="1" t="str"/>
      <c r="AB10" s="1" t="str"/>
      <c r="AC10" s="1" t="str"/>
      <c r="AD10" s="111">
        <f>IF(AND(OR(E10=1,E10=0),G10=1),J10,"")</f>
      </c>
      <c r="AE10" s="111">
        <f>IF(AND(OR(E10=1,E10=0),G10=2),J10,"")</f>
      </c>
      <c r="AF10" s="111">
        <f>IF(AND(OR(E10=1,E10=0),G10=3),J10,"")</f>
      </c>
      <c r="AG10" s="1" t="str"/>
      <c r="AH10" s="1" t="str"/>
      <c r="AI10" s="1" t="str"/>
      <c r="AJ10" s="111">
        <f>IF(AND(OR(E10=2,E10=0),G10=1),J10,"")</f>
      </c>
      <c r="AK10" s="111">
        <f>IF(AND(OR(E10=2,E10=0),G10=2),J10,"")</f>
      </c>
      <c r="AL10" s="111">
        <f>IF(AND(OR(E10=2,E10=0),G10=3),J10,"")</f>
      </c>
      <c r="AM10" s="1" t="str"/>
      <c r="AN10" s="1" t="str"/>
      <c r="AO10" s="1" t="str"/>
      <c r="AP10" s="111">
        <f>IF(AND(OR(E10=3,E10=0),G10=1),J10,"")</f>
      </c>
      <c r="AQ10" s="111">
        <f>IF(AND(OR(E10=3,E10=0),G10=2),J10,"")</f>
      </c>
      <c r="AR10" s="111">
        <f>IF(AND(OR(E10=3,E10=0),G10=3),J10,"")</f>
      </c>
    </row>
    <row customHeight="true" ht="19" r="11">
      <c r="A11" s="86" t="str">
        <v>会長、準備は万端です（准备万端）</v>
      </c>
      <c r="B11" s="86" t="str"/>
      <c r="C11" s="86" t="str"/>
      <c r="D11" s="116">
        <f>持有情况!AB70-ROW()*1e-05</f>
      </c>
      <c r="E11" s="116">
        <v>2</v>
      </c>
      <c r="F11" s="117">
        <v>0</v>
      </c>
      <c r="G11" s="116">
        <v>3</v>
      </c>
      <c r="H11" s="117">
        <v>0</v>
      </c>
      <c r="I11" s="1" t="str"/>
      <c r="J11" s="116">
        <f>INT((8.5/100)*路线!B13+9*路线!B29+15*路线!B31+40)-ROW()*1e-05</f>
      </c>
      <c r="K11" s="1" t="str"/>
      <c r="L11" s="111">
        <f>IF(AND(OR(E11=1,E11=0),G11=1),D11,"")</f>
      </c>
      <c r="M11" s="111">
        <f>IF(AND(OR(E11=2,E11=0),G11=1),D11,"")</f>
      </c>
      <c r="N11" s="111">
        <f>IF(AND(OR(E11=3,E11=0),G11=1),D11,"")</f>
      </c>
      <c r="O11" s="111">
        <f>IF(AND(OR(E11=1,E11=0),G11=2),D11,"")</f>
      </c>
      <c r="P11" s="111">
        <f>IF(AND(OR(E11=2,E11=0),G11=2),D11,"")</f>
      </c>
      <c r="Q11" s="111">
        <f>IF(AND(OR(E11=3,E11=0),G11=2),D11,"")</f>
      </c>
      <c r="R11" s="111">
        <f>IF(AND(OR(E11=1,E11=0),G11=3),D11,"")</f>
      </c>
      <c r="S11" s="111">
        <f>IF(AND(OR(E11=2,E11=0),G11=3),D11,"")</f>
      </c>
      <c r="T11" s="111">
        <f>IF(AND(OR(E11=3,E11=0),G11=3),D11,"")</f>
      </c>
      <c r="U11" s="1" t="str"/>
      <c r="V11" s="1" t="str"/>
      <c r="W11" s="1" t="str"/>
      <c r="X11" s="1" t="str"/>
      <c r="Y11" s="1" t="str"/>
      <c r="Z11" s="1" t="str"/>
      <c r="AA11" s="1" t="str"/>
      <c r="AB11" s="1" t="str"/>
      <c r="AC11" s="1" t="str"/>
      <c r="AD11" s="111">
        <f>IF(AND(OR(E11=1,E11=0),G11=1),J11,"")</f>
      </c>
      <c r="AE11" s="111">
        <f>IF(AND(OR(E11=1,E11=0),G11=2),J11,"")</f>
      </c>
      <c r="AF11" s="111">
        <f>IF(AND(OR(E11=1,E11=0),G11=3),J11,"")</f>
      </c>
      <c r="AG11" s="1" t="str"/>
      <c r="AH11" s="1" t="str"/>
      <c r="AI11" s="1" t="str"/>
      <c r="AJ11" s="111">
        <f>IF(AND(OR(E11=2,E11=0),G11=1),J11,"")</f>
      </c>
      <c r="AK11" s="111">
        <f>IF(AND(OR(E11=2,E11=0),G11=2),J11,"")</f>
      </c>
      <c r="AL11" s="111">
        <f>IF(AND(OR(E11=2,E11=0),G11=3),J11,"")</f>
      </c>
      <c r="AM11" s="1" t="str"/>
      <c r="AN11" s="1" t="str"/>
      <c r="AO11" s="1" t="str"/>
      <c r="AP11" s="111">
        <f>IF(AND(OR(E11=3,E11=0),G11=1),J11,"")</f>
      </c>
      <c r="AQ11" s="111">
        <f>IF(AND(OR(E11=3,E11=0),G11=2),J11,"")</f>
      </c>
      <c r="AR11" s="111">
        <f>IF(AND(OR(E11=3,E11=0),G11=3),J11,"")</f>
      </c>
    </row>
    <row customHeight="true" ht="19" r="12">
      <c r="A12" s="86" t="str">
        <v>相手にとって不足なしよ！（对战）</v>
      </c>
      <c r="B12" s="86" t="str"/>
      <c r="C12" s="86" t="str"/>
      <c r="D12" s="116">
        <f>持有情况!AB106-ROW()*1e-05</f>
      </c>
      <c r="E12" s="116">
        <v>3</v>
      </c>
      <c r="F12" s="116">
        <v>1</v>
      </c>
      <c r="G12" s="116">
        <v>3</v>
      </c>
      <c r="H12" s="116">
        <v>1</v>
      </c>
      <c r="I12" s="111" t="str">
        <v>对战</v>
      </c>
      <c r="J12" s="116">
        <f>IF(路线!C6="计算",INT(60+17*路线!B21+22*IF(路线!B36&lt;=3,路线!B36,3)+40+20)-ROW()*1e-05,INT(60+17*路线!B21+22*IF(路线!B36&lt;=3,路线!B36,3)+40)-ROW()*1e-05)</f>
      </c>
      <c r="K12" s="1" t="str"/>
      <c r="L12" s="111">
        <f>IF(AND(OR(E12=1,E12=0),G12=1),D12,"")</f>
      </c>
      <c r="M12" s="111">
        <f>IF(AND(OR(E12=2,E12=0),G12=1),D12,"")</f>
      </c>
      <c r="N12" s="111">
        <f>IF(AND(OR(E12=3,E12=0),G12=1),D12,"")</f>
      </c>
      <c r="O12" s="111">
        <f>IF(AND(OR(E12=1,E12=0),G12=2),D12,"")</f>
      </c>
      <c r="P12" s="111">
        <f>IF(AND(OR(E12=2,E12=0),G12=2),D12,"")</f>
      </c>
      <c r="Q12" s="111">
        <f>IF(AND(OR(E12=3,E12=0),G12=2),D12,"")</f>
      </c>
      <c r="R12" s="111">
        <f>IF(AND(OR(E12=1,E12=0),G12=3),D12,"")</f>
      </c>
      <c r="S12" s="111">
        <f>IF(AND(OR(E12=2,E12=0),G12=3),D12,"")</f>
      </c>
      <c r="T12" s="111">
        <f>IF(AND(OR(E12=3,E12=0),G12=3),D12,"")</f>
      </c>
      <c r="U12" s="1" t="str"/>
      <c r="V12" s="1" t="str"/>
      <c r="W12" s="1" t="str"/>
      <c r="X12" s="1" t="str"/>
      <c r="Y12" s="1" t="str"/>
      <c r="Z12" s="1" t="str"/>
      <c r="AA12" s="1" t="str"/>
      <c r="AB12" s="1" t="str"/>
      <c r="AC12" s="1" t="str"/>
      <c r="AD12" s="111">
        <f>IF(AND(OR(E12=1,E12=0),G12=1),J12,"")</f>
      </c>
      <c r="AE12" s="111">
        <f>IF(AND(OR(E12=1,E12=0),G12=2),J12,"")</f>
      </c>
      <c r="AF12" s="111">
        <f>IF(AND(OR(E12=1,E12=0),G12=3),J12,"")</f>
      </c>
      <c r="AG12" s="1" t="str"/>
      <c r="AH12" s="1" t="str"/>
      <c r="AI12" s="1" t="str"/>
      <c r="AJ12" s="111">
        <f>IF(AND(OR(E12=2,E12=0),G12=1),J12,"")</f>
      </c>
      <c r="AK12" s="111">
        <f>IF(AND(OR(E12=2,E12=0),G12=2),J12,"")</f>
      </c>
      <c r="AL12" s="111">
        <f>IF(AND(OR(E12=2,E12=0),G12=3),J12,"")</f>
      </c>
      <c r="AM12" s="1" t="str"/>
      <c r="AN12" s="1" t="str"/>
      <c r="AO12" s="1" t="str"/>
      <c r="AP12" s="111">
        <f>IF(AND(OR(E12=3,E12=0),G12=1),J12,"")</f>
      </c>
      <c r="AQ12" s="111">
        <f>IF(AND(OR(E12=3,E12=0),G12=2),J12,"")</f>
      </c>
      <c r="AR12" s="111">
        <f>IF(AND(OR(E12=3,E12=0),G12=3),J12,"")</f>
      </c>
    </row>
    <row customHeight="true" ht="19" r="13">
      <c r="A13" s="75" t="str">
        <v>屈辱の2位（马给马给）</v>
      </c>
      <c r="B13" s="75" t="str"/>
      <c r="C13" s="75" t="str"/>
      <c r="D13" s="116">
        <f>持有情况!AL76-ROW()*1e-05</f>
      </c>
      <c r="E13" s="116">
        <v>2</v>
      </c>
      <c r="F13" s="117">
        <v>0</v>
      </c>
      <c r="G13" s="116">
        <v>1</v>
      </c>
      <c r="H13" s="117">
        <v>0</v>
      </c>
      <c r="I13" s="1" t="str"/>
      <c r="J13" s="116">
        <f>INT(45+10*路线!B31+8*路线!B35+17+30)-ROW()*1e-05</f>
      </c>
      <c r="K13" s="1" t="str"/>
      <c r="L13" s="111">
        <f>IF(AND(OR(E13=1,E13=0),G13=1),D13,"")</f>
      </c>
      <c r="M13" s="111">
        <f>IF(AND(OR(E13=2,E13=0),G13=1),D13,"")</f>
      </c>
      <c r="N13" s="111">
        <f>IF(AND(OR(E13=3,E13=0),G13=1),D13,"")</f>
      </c>
      <c r="O13" s="111">
        <f>IF(AND(OR(E13=1,E13=0),G13=2),D13,"")</f>
      </c>
      <c r="P13" s="111">
        <f>IF(AND(OR(E13=2,E13=0),G13=2),D13,"")</f>
      </c>
      <c r="Q13" s="111">
        <f>IF(AND(OR(E13=3,E13=0),G13=2),D13,"")</f>
      </c>
      <c r="R13" s="111">
        <f>IF(AND(OR(E13=1,E13=0),G13=3),D13,"")</f>
      </c>
      <c r="S13" s="111">
        <f>IF(AND(OR(E13=2,E13=0),G13=3),D13,"")</f>
      </c>
      <c r="T13" s="111">
        <f>IF(AND(OR(E13=3,E13=0),G13=3),D13,"")</f>
      </c>
      <c r="U13" s="1" t="str"/>
      <c r="V13" s="1" t="str"/>
      <c r="W13" s="1" t="str"/>
      <c r="X13" s="1" t="str"/>
      <c r="Y13" s="1" t="str"/>
      <c r="Z13" s="1" t="str"/>
      <c r="AA13" s="1" t="str"/>
      <c r="AB13" s="1" t="str"/>
      <c r="AC13" s="1" t="str"/>
      <c r="AD13" s="111">
        <f>IF(AND(OR(E13=1,E13=0),G13=1),J13,"")</f>
      </c>
      <c r="AE13" s="111">
        <f>IF(AND(OR(E13=1,E13=0),G13=2),J13,"")</f>
      </c>
      <c r="AF13" s="111">
        <f>IF(AND(OR(E13=1,E13=0),G13=3),J13,"")</f>
      </c>
      <c r="AG13" s="1" t="str"/>
      <c r="AH13" s="1" t="str"/>
      <c r="AI13" s="1" t="str"/>
      <c r="AJ13" s="111">
        <f>IF(AND(OR(E13=2,E13=0),G13=1),J13,"")</f>
      </c>
      <c r="AK13" s="111">
        <f>IF(AND(OR(E13=2,E13=0),G13=2),J13,"")</f>
      </c>
      <c r="AL13" s="111">
        <f>IF(AND(OR(E13=2,E13=0),G13=3),J13,"")</f>
      </c>
      <c r="AM13" s="1" t="str"/>
      <c r="AN13" s="1" t="str"/>
      <c r="AO13" s="1" t="str"/>
      <c r="AP13" s="111">
        <f>IF(AND(OR(E13=3,E13=0),G13=1),J13,"")</f>
      </c>
      <c r="AQ13" s="111">
        <f>IF(AND(OR(E13=3,E13=0),G13=2),J13,"")</f>
      </c>
      <c r="AR13" s="111">
        <f>IF(AND(OR(E13=3,E13=0),G13=3),J13,"")</f>
      </c>
    </row>
    <row customHeight="true" ht="19" r="14">
      <c r="A14" s="86" t="str">
        <v>虫愛づる王子様（虫爱）</v>
      </c>
      <c r="B14" s="86" t="str"/>
      <c r="C14" s="86" t="str"/>
      <c r="D14" s="116">
        <f>持有情况!BF76-ROW()*1e-05</f>
      </c>
      <c r="E14" s="116">
        <v>3</v>
      </c>
      <c r="F14" s="117">
        <v>0</v>
      </c>
      <c r="G14" s="116">
        <v>3</v>
      </c>
      <c r="H14" s="116">
        <v>1</v>
      </c>
      <c r="I14" s="111" t="str">
        <v>虫爱</v>
      </c>
      <c r="J14" s="116">
        <f>IF(路线!C6="计算",INT(45+3*(路线!B28+路线!B29)+8*路线!B35+10*路线!B31+30+20)-ROW()*1e-05,INT(45+3*(路线!B28+路线!B29)+8*路线!B35+10*路线!B31+30)-ROW()*1e-05)</f>
      </c>
      <c r="K14" s="1" t="str"/>
      <c r="L14" s="111">
        <f>IF(AND(OR(E14=1,E14=0),G14=1),D14,"")</f>
      </c>
      <c r="M14" s="111">
        <f>IF(AND(OR(E14=2,E14=0),G14=1),D14,"")</f>
      </c>
      <c r="N14" s="111">
        <f>IF(AND(OR(E14=3,E14=0),G14=1),D14,"")</f>
      </c>
      <c r="O14" s="111">
        <f>IF(AND(OR(E14=1,E14=0),G14=2),D14,"")</f>
      </c>
      <c r="P14" s="111">
        <f>IF(AND(OR(E14=2,E14=0),G14=2),D14,"")</f>
      </c>
      <c r="Q14" s="111">
        <f>IF(AND(OR(E14=3,E14=0),G14=2),D14,"")</f>
      </c>
      <c r="R14" s="111">
        <f>IF(AND(OR(E14=1,E14=0),G14=3),D14,"")</f>
      </c>
      <c r="S14" s="111">
        <f>IF(AND(OR(E14=2,E14=0),G14=3),D14,"")</f>
      </c>
      <c r="T14" s="111">
        <f>IF(AND(OR(E14=3,E14=0),G14=3),D14,"")</f>
      </c>
      <c r="U14" s="1" t="str"/>
      <c r="V14" s="1" t="str"/>
      <c r="W14" s="1" t="str"/>
      <c r="X14" s="1" t="str"/>
      <c r="Y14" s="1" t="str"/>
      <c r="Z14" s="1" t="str"/>
      <c r="AA14" s="1" t="str"/>
      <c r="AB14" s="1" t="str"/>
      <c r="AC14" s="1" t="str"/>
      <c r="AD14" s="111">
        <f>IF(AND(OR(E14=1,E14=0),G14=1),J14,"")</f>
      </c>
      <c r="AE14" s="111">
        <f>IF(AND(OR(E14=1,E14=0),G14=2),J14,"")</f>
      </c>
      <c r="AF14" s="111">
        <f>IF(AND(OR(E14=1,E14=0),G14=3),J14,"")</f>
      </c>
      <c r="AG14" s="1" t="str"/>
      <c r="AH14" s="1" t="str"/>
      <c r="AI14" s="1" t="str"/>
      <c r="AJ14" s="111">
        <f>IF(AND(OR(E14=2,E14=0),G14=1),J14,"")</f>
      </c>
      <c r="AK14" s="111">
        <f>IF(AND(OR(E14=2,E14=0),G14=2),J14,"")</f>
      </c>
      <c r="AL14" s="111">
        <f>IF(AND(OR(E14=2,E14=0),G14=3),J14,"")</f>
      </c>
      <c r="AM14" s="1" t="str"/>
      <c r="AN14" s="1" t="str"/>
      <c r="AO14" s="1" t="str"/>
      <c r="AP14" s="111">
        <f>IF(AND(OR(E14=3,E14=0),G14=1),J14,"")</f>
      </c>
      <c r="AQ14" s="111">
        <f>IF(AND(OR(E14=3,E14=0),G14=2),J14,"")</f>
      </c>
      <c r="AR14" s="111">
        <f>IF(AND(OR(E14=3,E14=0),G14=3),J14,"")</f>
      </c>
    </row>
    <row customHeight="true" ht="19" r="15">
      <c r="A15" s="99" t="str">
        <v>ピューとシューの二重奏（二重奏）</v>
      </c>
      <c r="B15" s="99" t="str"/>
      <c r="C15" s="99" t="str"/>
      <c r="D15" s="116">
        <f>持有情况!AV94-ROW()*1e-05</f>
      </c>
      <c r="E15" s="116">
        <v>2</v>
      </c>
      <c r="F15" s="117">
        <v>0</v>
      </c>
      <c r="G15" s="116">
        <v>2</v>
      </c>
      <c r="H15" s="116">
        <v>1</v>
      </c>
      <c r="I15" s="111" t="str">
        <v>二重奏</v>
      </c>
      <c r="J15" s="116">
        <f>IF(路线!C6="计算",INT(45+6*路线!B29+3*路线!B27+5*路线!B30+30+20)-ROW()*1e-05,INT(45+6*路线!B29+3*路线!B27+5*路线!B30+30)-ROW()*1e-05)</f>
      </c>
      <c r="K15" s="1" t="str"/>
      <c r="L15" s="111">
        <f>IF(AND(OR(E15=1,E15=0),G15=1),D15,"")</f>
      </c>
      <c r="M15" s="111">
        <f>IF(AND(OR(E15=2,E15=0),G15=1),D15,"")</f>
      </c>
      <c r="N15" s="111">
        <f>IF(AND(OR(E15=3,E15=0),G15=1),D15,"")</f>
      </c>
      <c r="O15" s="111">
        <f>IF(AND(OR(E15=1,E15=0),G15=2),D15,"")</f>
      </c>
      <c r="P15" s="111">
        <f>IF(AND(OR(E15=2,E15=0),G15=2),D15,"")</f>
      </c>
      <c r="Q15" s="111">
        <f>IF(AND(OR(E15=3,E15=0),G15=2),D15,"")</f>
      </c>
      <c r="R15" s="111">
        <f>IF(AND(OR(E15=1,E15=0),G15=3),D15,"")</f>
      </c>
      <c r="S15" s="111">
        <f>IF(AND(OR(E15=2,E15=0),G15=3),D15,"")</f>
      </c>
      <c r="T15" s="111">
        <f>IF(AND(OR(E15=3,E15=0),G15=3),D15,"")</f>
      </c>
      <c r="U15" s="1" t="str"/>
      <c r="V15" s="1" t="str"/>
      <c r="W15" s="1" t="str"/>
      <c r="X15" s="1" t="str"/>
      <c r="Y15" s="1" t="str"/>
      <c r="Z15" s="1" t="str"/>
      <c r="AA15" s="1" t="str"/>
      <c r="AB15" s="1" t="str"/>
      <c r="AC15" s="1" t="str"/>
      <c r="AD15" s="111">
        <f>IF(AND(OR(E15=1,E15=0),G15=1),J15,"")</f>
      </c>
      <c r="AE15" s="111">
        <f>IF(AND(OR(E15=1,E15=0),G15=2),J15,"")</f>
      </c>
      <c r="AF15" s="111">
        <f>IF(AND(OR(E15=1,E15=0),G15=3),J15,"")</f>
      </c>
      <c r="AG15" s="1" t="str"/>
      <c r="AH15" s="1" t="str"/>
      <c r="AI15" s="1" t="str"/>
      <c r="AJ15" s="111">
        <f>IF(AND(OR(E15=2,E15=0),G15=1),J15,"")</f>
      </c>
      <c r="AK15" s="111">
        <f>IF(AND(OR(E15=2,E15=0),G15=2),J15,"")</f>
      </c>
      <c r="AL15" s="111">
        <f>IF(AND(OR(E15=2,E15=0),G15=3),J15,"")</f>
      </c>
      <c r="AM15" s="1" t="str"/>
      <c r="AN15" s="1" t="str"/>
      <c r="AO15" s="1" t="str"/>
      <c r="AP15" s="111">
        <f>IF(AND(OR(E15=3,E15=0),G15=1),J15,"")</f>
      </c>
      <c r="AQ15" s="111">
        <f>IF(AND(OR(E15=3,E15=0),G15=2),J15,"")</f>
      </c>
      <c r="AR15" s="111">
        <f>IF(AND(OR(E15=3,E15=0),G15=3),J15,"")</f>
      </c>
    </row>
    <row customHeight="true" ht="19" r="16">
      <c r="A16" s="75" t="str">
        <v>また、あんなに無理をして（红毛巾）</v>
      </c>
      <c r="B16" s="75" t="str"/>
      <c r="C16" s="75" t="str"/>
      <c r="D16" s="116">
        <f>持有情况!H10-ROW()*1e-05</f>
      </c>
      <c r="E16" s="117">
        <v>0</v>
      </c>
      <c r="F16" s="117">
        <v>0</v>
      </c>
      <c r="G16" s="116">
        <v>1</v>
      </c>
      <c r="H16" s="116">
        <v>1</v>
      </c>
      <c r="I16" s="111" t="str">
        <v>红毛巾</v>
      </c>
      <c r="J16" s="116">
        <f>INT((8.5/100)*路线!B13+15*路线!B31+3*路线!B24+40)-ROW()*1e-05</f>
      </c>
      <c r="K16" s="1" t="str"/>
      <c r="L16" s="111">
        <f>IF(AND(OR(E16=1,E16=0),G16=1),D16,"")</f>
      </c>
      <c r="M16" s="111">
        <f>IF(AND(OR(E16=2,E16=0),G16=1),D16,"")</f>
      </c>
      <c r="N16" s="111">
        <f>IF(AND(OR(E16=3,E16=0),G16=1),D16,"")</f>
      </c>
      <c r="O16" s="111">
        <f>IF(AND(OR(E16=1,E16=0),G16=2),D16,"")</f>
      </c>
      <c r="P16" s="111">
        <f>IF(AND(OR(E16=2,E16=0),G16=2),D16,"")</f>
      </c>
      <c r="Q16" s="111">
        <f>IF(AND(OR(E16=3,E16=0),G16=2),D16,"")</f>
      </c>
      <c r="R16" s="111">
        <f>IF(AND(OR(E16=1,E16=0),G16=3),D16,"")</f>
      </c>
      <c r="S16" s="111">
        <f>IF(AND(OR(E16=2,E16=0),G16=3),D16,"")</f>
      </c>
      <c r="T16" s="111">
        <f>IF(AND(OR(E16=3,E16=0),G16=3),D16,"")</f>
      </c>
      <c r="U16" s="1" t="str"/>
      <c r="V16" s="1" t="str"/>
      <c r="W16" s="1" t="str"/>
      <c r="X16" s="1" t="str"/>
      <c r="Y16" s="1" t="str"/>
      <c r="Z16" s="1" t="str"/>
      <c r="AA16" s="1" t="str"/>
      <c r="AB16" s="1" t="str"/>
      <c r="AC16" s="1" t="str"/>
      <c r="AD16" s="111">
        <f>IF(AND(OR(E16=1,E16=0),G16=1),J16,"")</f>
      </c>
      <c r="AE16" s="111">
        <f>IF(AND(OR(E16=1,E16=0),G16=2),J16,"")</f>
      </c>
      <c r="AF16" s="111">
        <f>IF(AND(OR(E16=1,E16=0),G16=3),J16,"")</f>
      </c>
      <c r="AG16" s="1" t="str"/>
      <c r="AH16" s="1" t="str"/>
      <c r="AI16" s="1" t="str"/>
      <c r="AJ16" s="111">
        <f>IF(AND(OR(E16=2,E16=0),G16=1),J16,"")</f>
      </c>
      <c r="AK16" s="111">
        <f>IF(AND(OR(E16=2,E16=0),G16=2),J16,"")</f>
      </c>
      <c r="AL16" s="111">
        <f>IF(AND(OR(E16=2,E16=0),G16=3),J16,"")</f>
      </c>
      <c r="AM16" s="1" t="str"/>
      <c r="AN16" s="1" t="str"/>
      <c r="AO16" s="1" t="str"/>
      <c r="AP16" s="111">
        <f>IF(AND(OR(E16=3,E16=0),G16=1),J16,"")</f>
      </c>
      <c r="AQ16" s="111">
        <f>IF(AND(OR(E16=3,E16=0),G16=2),J16,"")</f>
      </c>
      <c r="AR16" s="111">
        <f>IF(AND(OR(E16=3,E16=0),G16=3),J16,"")</f>
      </c>
    </row>
    <row customHeight="true" ht="19" r="17">
      <c r="A17" s="86" t="str">
        <v>ほっぺた、ぷに（黄永年）</v>
      </c>
      <c r="B17" s="86" t="str"/>
      <c r="C17" s="86" t="str"/>
      <c r="D17" s="116">
        <f>IF(路线!B4="计算",持有情况!BG18,持有情况!BF16)-ROW()*1e-05</f>
      </c>
      <c r="E17" s="117">
        <v>0</v>
      </c>
      <c r="F17" s="117">
        <v>0</v>
      </c>
      <c r="G17" s="116">
        <v>3</v>
      </c>
      <c r="H17" s="117">
        <v>0</v>
      </c>
      <c r="I17" s="1" t="str"/>
      <c r="J17" s="116">
        <f>IF(路线!B4="计算",INT((6.4/100)*路线!B13+5*路线!B30+13*路线!B22+30+持有情况!AM15),INT((6.4/100)*路线!B13+5*路线!B30+13*路线!B22+30))-ROW()*1e-05</f>
      </c>
      <c r="K17" s="1" t="str"/>
      <c r="L17" s="111">
        <f>IF(AND(OR(E17=1,E17=0),G17=1),D17,"")</f>
      </c>
      <c r="M17" s="111">
        <f>IF(AND(OR(E17=2,E17=0),G17=1),D17,"")</f>
      </c>
      <c r="N17" s="111">
        <f>IF(AND(OR(E17=3,E17=0),G17=1),D17,"")</f>
      </c>
      <c r="O17" s="111">
        <f>IF(AND(OR(E17=1,E17=0),G17=2),D17,"")</f>
      </c>
      <c r="P17" s="111">
        <f>IF(AND(OR(E17=2,E17=0),G17=2),D17,"")</f>
      </c>
      <c r="Q17" s="111">
        <f>IF(AND(OR(E17=3,E17=0),G17=2),D17,"")</f>
      </c>
      <c r="R17" s="111">
        <f>IF(AND(OR(E17=1,E17=0),G17=3),D17,"")</f>
      </c>
      <c r="S17" s="111">
        <f>IF(AND(OR(E17=2,E17=0),G17=3),D17,"")</f>
      </c>
      <c r="T17" s="111">
        <f>IF(AND(OR(E17=3,E17=0),G17=3),D17,"")</f>
      </c>
      <c r="U17" s="1" t="str"/>
      <c r="V17" s="1" t="str"/>
      <c r="W17" s="1" t="str"/>
      <c r="X17" s="1" t="str"/>
      <c r="Y17" s="1" t="str"/>
      <c r="Z17" s="1" t="str"/>
      <c r="AA17" s="1" t="str"/>
      <c r="AB17" s="1" t="str"/>
      <c r="AC17" s="1" t="str"/>
      <c r="AD17" s="111">
        <f>IF(AND(OR(E17=1,E17=0),G17=1),J17,"")</f>
      </c>
      <c r="AE17" s="111">
        <f>IF(AND(OR(E17=1,E17=0),G17=2),J17,"")</f>
      </c>
      <c r="AF17" s="111">
        <f>IF(AND(OR(E17=1,E17=0),G17=3),J17,"")</f>
      </c>
      <c r="AG17" s="1" t="str"/>
      <c r="AH17" s="1" t="str"/>
      <c r="AI17" s="1" t="str"/>
      <c r="AJ17" s="111">
        <f>IF(AND(OR(E17=2,E17=0),G17=1),J17,"")</f>
      </c>
      <c r="AK17" s="111">
        <f>IF(AND(OR(E17=2,E17=0),G17=2),J17,"")</f>
      </c>
      <c r="AL17" s="111">
        <f>IF(AND(OR(E17=2,E17=0),G17=3),J17,"")</f>
      </c>
      <c r="AM17" s="1" t="str"/>
      <c r="AN17" s="1" t="str"/>
      <c r="AO17" s="1" t="str"/>
      <c r="AP17" s="111">
        <f>IF(AND(OR(E17=3,E17=0),G17=1),J17,"")</f>
      </c>
      <c r="AQ17" s="111">
        <f>IF(AND(OR(E17=3,E17=0),G17=2),J17,"")</f>
      </c>
      <c r="AR17" s="111">
        <f>IF(AND(OR(E17=3,E17=0),G17=3),J17,"")</f>
      </c>
    </row>
    <row customHeight="true" ht="19" r="18">
      <c r="A18" s="99" t="str">
        <v>ガールズ♡トーク（女子会）</v>
      </c>
      <c r="B18" s="99" t="str"/>
      <c r="C18" s="99" t="str"/>
      <c r="D18" s="116">
        <f>持有情况!AV100-ROW()*1e-05</f>
      </c>
      <c r="E18" s="116">
        <v>1</v>
      </c>
      <c r="F18" s="117">
        <v>0</v>
      </c>
      <c r="G18" s="116">
        <v>2</v>
      </c>
      <c r="H18" s="117">
        <v>0</v>
      </c>
      <c r="I18" s="1" t="str"/>
      <c r="J18" s="116">
        <f>INT(45+10*路线!B31+6*路线!B29+13*路线!B21+30)-ROW()*1e-05</f>
      </c>
      <c r="K18" s="1" t="str"/>
      <c r="L18" s="111">
        <f>IF(AND(OR(E18=1,E18=0),G18=1),D18,"")</f>
      </c>
      <c r="M18" s="111">
        <f>IF(AND(OR(E18=2,E18=0),G18=1),D18,"")</f>
      </c>
      <c r="N18" s="111">
        <f>IF(AND(OR(E18=3,E18=0),G18=1),D18,"")</f>
      </c>
      <c r="O18" s="111">
        <f>IF(AND(OR(E18=1,E18=0),G18=2),D18,"")</f>
      </c>
      <c r="P18" s="111">
        <f>IF(AND(OR(E18=2,E18=0),G18=2),D18,"")</f>
      </c>
      <c r="Q18" s="111">
        <f>IF(AND(OR(E18=3,E18=0),G18=2),D18,"")</f>
      </c>
      <c r="R18" s="111">
        <f>IF(AND(OR(E18=1,E18=0),G18=3),D18,"")</f>
      </c>
      <c r="S18" s="111">
        <f>IF(AND(OR(E18=2,E18=0),G18=3),D18,"")</f>
      </c>
      <c r="T18" s="111">
        <f>IF(AND(OR(E18=3,E18=0),G18=3),D18,"")</f>
      </c>
      <c r="U18" s="1" t="str"/>
      <c r="V18" s="1" t="str"/>
      <c r="W18" s="1" t="str"/>
      <c r="X18" s="1" t="str"/>
      <c r="Y18" s="1" t="str"/>
      <c r="Z18" s="1" t="str"/>
      <c r="AA18" s="1" t="str"/>
      <c r="AB18" s="1" t="str"/>
      <c r="AC18" s="1" t="str"/>
      <c r="AD18" s="111">
        <f>IF(AND(OR(E18=1,E18=0),G18=1),J18,"")</f>
      </c>
      <c r="AE18" s="111">
        <f>IF(AND(OR(E18=1,E18=0),G18=2),J18,"")</f>
      </c>
      <c r="AF18" s="111">
        <f>IF(AND(OR(E18=1,E18=0),G18=3),J18,"")</f>
      </c>
      <c r="AG18" s="1" t="str"/>
      <c r="AH18" s="1" t="str"/>
      <c r="AI18" s="1" t="str"/>
      <c r="AJ18" s="111">
        <f>IF(AND(OR(E18=2,E18=0),G18=1),J18,"")</f>
      </c>
      <c r="AK18" s="111">
        <f>IF(AND(OR(E18=2,E18=0),G18=2),J18,"")</f>
      </c>
      <c r="AL18" s="111">
        <f>IF(AND(OR(E18=2,E18=0),G18=3),J18,"")</f>
      </c>
      <c r="AM18" s="1" t="str"/>
      <c r="AN18" s="1" t="str"/>
      <c r="AO18" s="1" t="str"/>
      <c r="AP18" s="111">
        <f>IF(AND(OR(E18=3,E18=0),G18=1),J18,"")</f>
      </c>
      <c r="AQ18" s="111">
        <f>IF(AND(OR(E18=3,E18=0),G18=2),J18,"")</f>
      </c>
      <c r="AR18" s="111">
        <f>IF(AND(OR(E18=3,E18=0),G18=3),J18,"")</f>
      </c>
    </row>
    <row customHeight="true" ht="19" r="19">
      <c r="A19" s="75" t="str">
        <v>あら、奇遇ね（红过牌）</v>
      </c>
      <c r="B19" s="75" t="str"/>
      <c r="C19" s="75" t="str"/>
      <c r="D19" s="121">
        <f>持有情况!H4-ROW()*1e-05</f>
      </c>
      <c r="E19" s="117">
        <v>0</v>
      </c>
      <c r="F19" s="117">
        <v>0</v>
      </c>
      <c r="G19" s="116">
        <v>1</v>
      </c>
      <c r="H19" s="116">
        <v>1</v>
      </c>
      <c r="I19" s="111" t="str">
        <v>红过牌</v>
      </c>
      <c r="J19" s="116">
        <f>INT(60+6*路线!B20+7*路线!B30+40)-ROW()*1e-05</f>
      </c>
      <c r="K19" s="1" t="str"/>
      <c r="L19" s="111">
        <f>IF(AND(OR(E19=1,E19=0),G19=1),D19,"")</f>
      </c>
      <c r="M19" s="111">
        <f>IF(AND(OR(E19=2,E19=0),G19=1),D19,"")</f>
      </c>
      <c r="N19" s="111">
        <f>IF(AND(OR(E19=3,E19=0),G19=1),D19,"")</f>
      </c>
      <c r="O19" s="111">
        <f>IF(AND(OR(E19=1,E19=0),G19=2),D19,"")</f>
      </c>
      <c r="P19" s="111">
        <f>IF(AND(OR(E19=2,E19=0),G19=2),D19,"")</f>
      </c>
      <c r="Q19" s="111">
        <f>IF(AND(OR(E19=3,E19=0),G19=2),D19,"")</f>
      </c>
      <c r="R19" s="111">
        <f>IF(AND(OR(E19=1,E19=0),G19=3),D19,"")</f>
      </c>
      <c r="S19" s="111">
        <f>IF(AND(OR(E19=2,E19=0),G19=3),D19,"")</f>
      </c>
      <c r="T19" s="111">
        <f>IF(AND(OR(E19=3,E19=0),G19=3),D19,"")</f>
      </c>
      <c r="U19" s="1" t="str"/>
      <c r="V19" s="1" t="str"/>
      <c r="W19" s="1" t="str"/>
      <c r="X19" s="1" t="str"/>
      <c r="Y19" s="1" t="str"/>
      <c r="Z19" s="1" t="str"/>
      <c r="AA19" s="1" t="str"/>
      <c r="AB19" s="1" t="str"/>
      <c r="AC19" s="1" t="str"/>
      <c r="AD19" s="111">
        <f>IF(AND(OR(E19=1,E19=0),G19=1),J19,"")</f>
      </c>
      <c r="AE19" s="111">
        <f>IF(AND(OR(E19=1,E19=0),G19=2),J19,"")</f>
      </c>
      <c r="AF19" s="111">
        <f>IF(AND(OR(E19=1,E19=0),G19=3),J19,"")</f>
      </c>
      <c r="AG19" s="1" t="str"/>
      <c r="AH19" s="1" t="str"/>
      <c r="AI19" s="1" t="str"/>
      <c r="AJ19" s="111">
        <f>IF(AND(OR(E19=2,E19=0),G19=1),J19,"")</f>
      </c>
      <c r="AK19" s="111">
        <f>IF(AND(OR(E19=2,E19=0),G19=2),J19,"")</f>
      </c>
      <c r="AL19" s="111">
        <f>IF(AND(OR(E19=2,E19=0),G19=3),J19,"")</f>
      </c>
      <c r="AM19" s="1" t="str"/>
      <c r="AN19" s="1" t="str"/>
      <c r="AO19" s="1" t="str"/>
      <c r="AP19" s="111">
        <f>IF(AND(OR(E19=3,E19=0),G19=1),J19,"")</f>
      </c>
      <c r="AQ19" s="111">
        <f>IF(AND(OR(E19=3,E19=0),G19=2),J19,"")</f>
      </c>
      <c r="AR19" s="111">
        <f>IF(AND(OR(E19=3,E19=0),G19=3),J19,"")</f>
      </c>
    </row>
    <row customHeight="true" ht="19" r="20">
      <c r="A20" s="99" t="str">
        <v>夏を満喫するわよ！（水枪）</v>
      </c>
      <c r="B20" s="99" t="str"/>
      <c r="C20" s="99" t="str"/>
      <c r="D20" s="116">
        <f>持有情况!R46-ROW()*1e-05</f>
      </c>
      <c r="E20" s="116">
        <v>2</v>
      </c>
      <c r="F20" s="117">
        <v>0</v>
      </c>
      <c r="G20" s="116">
        <v>2</v>
      </c>
      <c r="H20" s="116">
        <v>1</v>
      </c>
      <c r="I20" s="111" t="str">
        <v>水枪</v>
      </c>
      <c r="J20" s="116">
        <f>INT((8.5/100)*路线!B13+9*路线!B29+17*路线!B21+7*路线!B30+40)-ROW()*1e-05</f>
      </c>
      <c r="K20" s="1" t="str"/>
      <c r="L20" s="111">
        <f>IF(AND(OR(E20=1,E20=0),G20=1),D20,"")</f>
      </c>
      <c r="M20" s="111">
        <f>IF(AND(OR(E20=2,E20=0),G20=1),D20,"")</f>
      </c>
      <c r="N20" s="111">
        <f>IF(AND(OR(E20=3,E20=0),G20=1),D20,"")</f>
      </c>
      <c r="O20" s="111">
        <f>IF(AND(OR(E20=1,E20=0),G20=2),D20,"")</f>
      </c>
      <c r="P20" s="111">
        <f>IF(AND(OR(E20=2,E20=0),G20=2),D20,"")</f>
      </c>
      <c r="Q20" s="111">
        <f>IF(AND(OR(E20=3,E20=0),G20=2),D20,"")</f>
      </c>
      <c r="R20" s="111">
        <f>IF(AND(OR(E20=1,E20=0),G20=3),D20,"")</f>
      </c>
      <c r="S20" s="111">
        <f>IF(AND(OR(E20=2,E20=0),G20=3),D20,"")</f>
      </c>
      <c r="T20" s="111">
        <f>IF(AND(OR(E20=3,E20=0),G20=3),D20,"")</f>
      </c>
      <c r="U20" s="1" t="str"/>
      <c r="V20" s="1" t="str"/>
      <c r="W20" s="1" t="str"/>
      <c r="X20" s="1" t="str"/>
      <c r="Y20" s="1" t="str"/>
      <c r="Z20" s="1" t="str"/>
      <c r="AA20" s="1" t="str"/>
      <c r="AB20" s="1" t="str"/>
      <c r="AC20" s="1" t="str"/>
      <c r="AD20" s="111">
        <f>IF(AND(OR(E20=1,E20=0),G20=1),J20,"")</f>
      </c>
      <c r="AE20" s="111">
        <f>IF(AND(OR(E20=1,E20=0),G20=2),J20,"")</f>
      </c>
      <c r="AF20" s="111">
        <f>IF(AND(OR(E20=1,E20=0),G20=3),J20,"")</f>
      </c>
      <c r="AG20" s="1" t="str"/>
      <c r="AH20" s="1" t="str"/>
      <c r="AI20" s="1" t="str"/>
      <c r="AJ20" s="111">
        <f>IF(AND(OR(E20=2,E20=0),G20=1),J20,"")</f>
      </c>
      <c r="AK20" s="111">
        <f>IF(AND(OR(E20=2,E20=0),G20=2),J20,"")</f>
      </c>
      <c r="AL20" s="111">
        <f>IF(AND(OR(E20=2,E20=0),G20=3),J20,"")</f>
      </c>
      <c r="AM20" s="1" t="str"/>
      <c r="AN20" s="1" t="str"/>
      <c r="AO20" s="1" t="str"/>
      <c r="AP20" s="111">
        <f>IF(AND(OR(E20=3,E20=0),G20=1),J20,"")</f>
      </c>
      <c r="AQ20" s="111">
        <f>IF(AND(OR(E20=3,E20=0),G20=2),J20,"")</f>
      </c>
      <c r="AR20" s="111">
        <f>IF(AND(OR(E20=3,E20=0),G20=3),J20,"")</f>
      </c>
    </row>
    <row customHeight="true" ht="19" r="21">
      <c r="A21" s="99" t="str">
        <v>ここから始まるんだね！（相册）</v>
      </c>
      <c r="B21" s="99" t="str"/>
      <c r="C21" s="99" t="str"/>
      <c r="D21" s="123">
        <f>持有情况!R106-ROW()*1e-05</f>
      </c>
      <c r="E21" s="116">
        <v>1</v>
      </c>
      <c r="F21" s="117">
        <v>0</v>
      </c>
      <c r="G21" s="116">
        <v>2</v>
      </c>
      <c r="H21" s="116">
        <v>1</v>
      </c>
      <c r="I21" s="111" t="str">
        <v>相册</v>
      </c>
      <c r="J21" s="116">
        <f>INT((8.5/100)*路线!B13+11*路线!B35+17*路线!B21+7*路线!B30+40)-ROW()*1e-05</f>
      </c>
      <c r="K21" s="1" t="str"/>
      <c r="L21" s="111">
        <f>IF(AND(OR(E21=1,E21=0),G21=1),D21,"")</f>
      </c>
      <c r="M21" s="111">
        <f>IF(AND(OR(E21=2,E21=0),G21=1),D21,"")</f>
      </c>
      <c r="N21" s="111">
        <f>IF(AND(OR(E21=3,E21=0),G21=1),D21,"")</f>
      </c>
      <c r="O21" s="111">
        <f>IF(AND(OR(E21=1,E21=0),G21=2),D21,"")</f>
      </c>
      <c r="P21" s="111">
        <f>IF(AND(OR(E21=2,E21=0),G21=2),D21,"")</f>
      </c>
      <c r="Q21" s="111">
        <f>IF(AND(OR(E21=3,E21=0),G21=2),D21,"")</f>
      </c>
      <c r="R21" s="111">
        <f>IF(AND(OR(E21=1,E21=0),G21=3),D21,"")</f>
      </c>
      <c r="S21" s="111">
        <f>IF(AND(OR(E21=2,E21=0),G21=3),D21,"")</f>
      </c>
      <c r="T21" s="111">
        <f>IF(AND(OR(E21=3,E21=0),G21=3),D21,"")</f>
      </c>
      <c r="U21" s="1" t="str"/>
      <c r="V21" s="1" t="str"/>
      <c r="W21" s="1" t="str"/>
      <c r="X21" s="1" t="str"/>
      <c r="Y21" s="1" t="str"/>
      <c r="Z21" s="1" t="str"/>
      <c r="AA21" s="1" t="str"/>
      <c r="AB21" s="1" t="str"/>
      <c r="AC21" s="1" t="str"/>
      <c r="AD21" s="111">
        <f>IF(AND(OR(E21=1,E21=0),G21=1),J21,"")</f>
      </c>
      <c r="AE21" s="111">
        <f>IF(AND(OR(E21=1,E21=0),G21=2),J21,"")</f>
      </c>
      <c r="AF21" s="111">
        <f>IF(AND(OR(E21=1,E21=0),G21=3),J21,"")</f>
      </c>
      <c r="AG21" s="1" t="str"/>
      <c r="AH21" s="1" t="str"/>
      <c r="AI21" s="1" t="str"/>
      <c r="AJ21" s="111">
        <f>IF(AND(OR(E21=2,E21=0),G21=1),J21,"")</f>
      </c>
      <c r="AK21" s="111">
        <f>IF(AND(OR(E21=2,E21=0),G21=2),J21,"")</f>
      </c>
      <c r="AL21" s="111">
        <f>IF(AND(OR(E21=2,E21=0),G21=3),J21,"")</f>
      </c>
      <c r="AM21" s="1" t="str"/>
      <c r="AN21" s="1" t="str"/>
      <c r="AO21" s="1" t="str"/>
      <c r="AP21" s="111">
        <f>IF(AND(OR(E21=3,E21=0),G21=1),J21,"")</f>
      </c>
      <c r="AQ21" s="111">
        <f>IF(AND(OR(E21=3,E21=0),G21=2),J21,"")</f>
      </c>
      <c r="AR21" s="111">
        <f>IF(AND(OR(E21=3,E21=0),G21=3),J21,"")</f>
      </c>
    </row>
    <row customHeight="true" ht="19" r="22">
      <c r="A22" s="75" t="str">
        <v>ほっとけないクラスメイト（朝助）</v>
      </c>
      <c r="B22" s="75" t="str"/>
      <c r="C22" s="75" t="str"/>
      <c r="D22" s="123">
        <f>持有情况!AL4-ROW()*1e-05</f>
      </c>
      <c r="E22" s="117">
        <v>0</v>
      </c>
      <c r="F22" s="117">
        <v>0</v>
      </c>
      <c r="G22" s="116">
        <v>1</v>
      </c>
      <c r="H22" s="117">
        <v>0</v>
      </c>
      <c r="I22" s="1" t="str"/>
      <c r="J22" s="116">
        <f>INT(45+10*路线!B31+3*(路线!B28+路线!B29)+30)-ROW()*1e-05</f>
      </c>
      <c r="K22" s="1" t="str"/>
      <c r="L22" s="111">
        <f>IF(AND(OR(E22=1,E22=0),G22=1),D22,"")</f>
      </c>
      <c r="M22" s="111">
        <f>IF(AND(OR(E22=2,E22=0),G22=1),D22,"")</f>
      </c>
      <c r="N22" s="111">
        <f>IF(AND(OR(E22=3,E22=0),G22=1),D22,"")</f>
      </c>
      <c r="O22" s="111">
        <f>IF(AND(OR(E22=1,E22=0),G22=2),D22,"")</f>
      </c>
      <c r="P22" s="111">
        <f>IF(AND(OR(E22=2,E22=0),G22=2),D22,"")</f>
      </c>
      <c r="Q22" s="111">
        <f>IF(AND(OR(E22=3,E22=0),G22=2),D22,"")</f>
      </c>
      <c r="R22" s="111">
        <f>IF(AND(OR(E22=1,E22=0),G22=3),D22,"")</f>
      </c>
      <c r="S22" s="111">
        <f>IF(AND(OR(E22=2,E22=0),G22=3),D22,"")</f>
      </c>
      <c r="T22" s="111">
        <f>IF(AND(OR(E22=3,E22=0),G22=3),D22,"")</f>
      </c>
      <c r="U22" s="1" t="str"/>
      <c r="V22" s="1" t="str"/>
      <c r="W22" s="1" t="str"/>
      <c r="X22" s="1" t="str"/>
      <c r="Y22" s="1" t="str"/>
      <c r="Z22" s="1" t="str"/>
      <c r="AA22" s="1" t="str"/>
      <c r="AB22" s="1" t="str"/>
      <c r="AC22" s="1" t="str"/>
      <c r="AD22" s="111">
        <f>IF(AND(OR(E22=1,E22=0),G22=1),J22,"")</f>
      </c>
      <c r="AE22" s="111">
        <f>IF(AND(OR(E22=1,E22=0),G22=2),J22,"")</f>
      </c>
      <c r="AF22" s="111">
        <f>IF(AND(OR(E22=1,E22=0),G22=3),J22,"")</f>
      </c>
      <c r="AG22" s="1" t="str"/>
      <c r="AH22" s="1" t="str"/>
      <c r="AI22" s="1" t="str"/>
      <c r="AJ22" s="111">
        <f>IF(AND(OR(E22=2,E22=0),G22=1),J22,"")</f>
      </c>
      <c r="AK22" s="111">
        <f>IF(AND(OR(E22=2,E22=0),G22=2),J22,"")</f>
      </c>
      <c r="AL22" s="111">
        <f>IF(AND(OR(E22=2,E22=0),G22=3),J22,"")</f>
      </c>
      <c r="AM22" s="1" t="str"/>
      <c r="AN22" s="1" t="str"/>
      <c r="AO22" s="1" t="str"/>
      <c r="AP22" s="111">
        <f>IF(AND(OR(E22=3,E22=0),G22=1),J22,"")</f>
      </c>
      <c r="AQ22" s="111">
        <f>IF(AND(OR(E22=3,E22=0),G22=2),J22,"")</f>
      </c>
      <c r="AR22" s="111">
        <f>IF(AND(OR(E22=3,E22=0),G22=3),J22,"")</f>
      </c>
    </row>
    <row customHeight="true" ht="19" r="23">
      <c r="A23" s="99" t="str">
        <v>似合うんじゃない？（气球）</v>
      </c>
      <c r="B23" s="99" t="str"/>
      <c r="C23" s="99" t="str"/>
      <c r="D23" s="116">
        <f>持有情况!R58-ROW()*1e-05</f>
      </c>
      <c r="E23" s="116">
        <v>2</v>
      </c>
      <c r="F23" s="117">
        <v>0</v>
      </c>
      <c r="G23" s="116">
        <v>2</v>
      </c>
      <c r="H23" s="116">
        <v>1</v>
      </c>
      <c r="I23" s="111" t="str">
        <v>气球</v>
      </c>
      <c r="J23" s="116">
        <f>INT((8.5/100)*路线!B13+17*路线!B21+15*路线!B31+40)-ROW()*1e-05</f>
      </c>
      <c r="K23" s="1" t="str"/>
      <c r="L23" s="111">
        <f>IF(AND(OR(E23=1,E23=0),G23=1),D23,"")</f>
      </c>
      <c r="M23" s="111">
        <f>IF(AND(OR(E23=2,E23=0),G23=1),D23,"")</f>
      </c>
      <c r="N23" s="111">
        <f>IF(AND(OR(E23=3,E23=0),G23=1),D23,"")</f>
      </c>
      <c r="O23" s="111">
        <f>IF(AND(OR(E23=1,E23=0),G23=2),D23,"")</f>
      </c>
      <c r="P23" s="111">
        <f>IF(AND(OR(E23=2,E23=0),G23=2),D23,"")</f>
      </c>
      <c r="Q23" s="111">
        <f>IF(AND(OR(E23=3,E23=0),G23=2),D23,"")</f>
      </c>
      <c r="R23" s="111">
        <f>IF(AND(OR(E23=1,E23=0),G23=3),D23,"")</f>
      </c>
      <c r="S23" s="111">
        <f>IF(AND(OR(E23=2,E23=0),G23=3),D23,"")</f>
      </c>
      <c r="T23" s="111">
        <f>IF(AND(OR(E23=3,E23=0),G23=3),D23,"")</f>
      </c>
      <c r="U23" s="1" t="str"/>
      <c r="V23" s="1" t="str"/>
      <c r="W23" s="1" t="str"/>
      <c r="X23" s="1" t="str"/>
      <c r="Y23" s="1" t="str"/>
      <c r="Z23" s="1" t="str"/>
      <c r="AA23" s="1" t="str"/>
      <c r="AB23" s="1" t="str"/>
      <c r="AC23" s="1" t="str"/>
      <c r="AD23" s="111">
        <f>IF(AND(OR(E23=1,E23=0),G23=1),J23,"")</f>
      </c>
      <c r="AE23" s="111">
        <f>IF(AND(OR(E23=1,E23=0),G23=2),J23,"")</f>
      </c>
      <c r="AF23" s="111">
        <f>IF(AND(OR(E23=1,E23=0),G23=3),J23,"")</f>
      </c>
      <c r="AG23" s="1" t="str"/>
      <c r="AH23" s="1" t="str"/>
      <c r="AI23" s="1" t="str"/>
      <c r="AJ23" s="111">
        <f>IF(AND(OR(E23=2,E23=0),G23=1),J23,"")</f>
      </c>
      <c r="AK23" s="111">
        <f>IF(AND(OR(E23=2,E23=0),G23=2),J23,"")</f>
      </c>
      <c r="AL23" s="111">
        <f>IF(AND(OR(E23=2,E23=0),G23=3),J23,"")</f>
      </c>
      <c r="AM23" s="1" t="str"/>
      <c r="AN23" s="1" t="str"/>
      <c r="AO23" s="1" t="str"/>
      <c r="AP23" s="111">
        <f>IF(AND(OR(E23=3,E23=0),G23=1),J23,"")</f>
      </c>
      <c r="AQ23" s="111">
        <f>IF(AND(OR(E23=3,E23=0),G23=2),J23,"")</f>
      </c>
      <c r="AR23" s="111">
        <f>IF(AND(OR(E23=3,E23=0),G23=3),J23,"")</f>
      </c>
    </row>
    <row customHeight="true" ht="19" r="24">
      <c r="A24" s="99" t="str">
        <v>晴れたね（蓝睡）</v>
      </c>
      <c r="B24" s="99" t="str"/>
      <c r="C24" s="99" t="str"/>
      <c r="D24" s="116">
        <f>持有情况!R34-ROW()*1e-05</f>
      </c>
      <c r="E24" s="117">
        <v>0</v>
      </c>
      <c r="F24" s="117">
        <v>0</v>
      </c>
      <c r="G24" s="116">
        <v>2</v>
      </c>
      <c r="H24" s="116">
        <v>1</v>
      </c>
      <c r="I24" s="111" t="str">
        <v>蓝睡</v>
      </c>
      <c r="J24" s="116">
        <f>INT((8.5/100)*路线!B13+22*路线!B32+15*路线!B31+40)-ROW()*1e-05</f>
      </c>
      <c r="K24" s="1" t="str"/>
      <c r="L24" s="111">
        <f>IF(AND(OR(E24=1,E24=0),G24=1),D24,"")</f>
      </c>
      <c r="M24" s="111">
        <f>IF(AND(OR(E24=2,E24=0),G24=1),D24,"")</f>
      </c>
      <c r="N24" s="111">
        <f>IF(AND(OR(E24=3,E24=0),G24=1),D24,"")</f>
      </c>
      <c r="O24" s="111">
        <f>IF(AND(OR(E24=1,E24=0),G24=2),D24,"")</f>
      </c>
      <c r="P24" s="111">
        <f>IF(AND(OR(E24=2,E24=0),G24=2),D24,"")</f>
      </c>
      <c r="Q24" s="111">
        <f>IF(AND(OR(E24=3,E24=0),G24=2),D24,"")</f>
      </c>
      <c r="R24" s="111">
        <f>IF(AND(OR(E24=1,E24=0),G24=3),D24,"")</f>
      </c>
      <c r="S24" s="111">
        <f>IF(AND(OR(E24=2,E24=0),G24=3),D24,"")</f>
      </c>
      <c r="T24" s="111">
        <f>IF(AND(OR(E24=3,E24=0),G24=3),D24,"")</f>
      </c>
      <c r="U24" s="1" t="str"/>
      <c r="V24" s="1" t="str"/>
      <c r="W24" s="1" t="str"/>
      <c r="X24" s="1" t="str"/>
      <c r="Y24" s="1" t="str"/>
      <c r="Z24" s="1" t="str"/>
      <c r="AA24" s="1" t="str"/>
      <c r="AB24" s="1" t="str"/>
      <c r="AC24" s="1" t="str"/>
      <c r="AD24" s="111">
        <f>IF(AND(OR(E24=1,E24=0),G24=1),J24,"")</f>
      </c>
      <c r="AE24" s="111">
        <f>IF(AND(OR(E24=1,E24=0),G24=2),J24,"")</f>
      </c>
      <c r="AF24" s="111">
        <f>IF(AND(OR(E24=1,E24=0),G24=3),J24,"")</f>
      </c>
      <c r="AG24" s="1" t="str"/>
      <c r="AH24" s="1" t="str"/>
      <c r="AI24" s="1" t="str"/>
      <c r="AJ24" s="111">
        <f>IF(AND(OR(E24=2,E24=0),G24=1),J24,"")</f>
      </c>
      <c r="AK24" s="111">
        <f>IF(AND(OR(E24=2,E24=0),G24=2),J24,"")</f>
      </c>
      <c r="AL24" s="111">
        <f>IF(AND(OR(E24=2,E24=0),G24=3),J24,"")</f>
      </c>
      <c r="AM24" s="1" t="str"/>
      <c r="AN24" s="1" t="str"/>
      <c r="AO24" s="1" t="str"/>
      <c r="AP24" s="111">
        <f>IF(AND(OR(E24=3,E24=0),G24=1),J24,"")</f>
      </c>
      <c r="AQ24" s="111">
        <f>IF(AND(OR(E24=3,E24=0),G24=2),J24,"")</f>
      </c>
      <c r="AR24" s="111">
        <f>IF(AND(OR(E24=3,E24=0),G24=3),J24,"")</f>
      </c>
    </row>
    <row customHeight="true" ht="19" r="25">
      <c r="A25" s="99" t="str">
        <v>あなたたちのことが好き（秋千）</v>
      </c>
      <c r="B25" s="99" t="str"/>
      <c r="C25" s="99" t="str"/>
      <c r="D25" s="116">
        <f>持有情况!R94-ROW()*1e-05</f>
      </c>
      <c r="E25" s="116">
        <v>2</v>
      </c>
      <c r="F25" s="116">
        <v>1</v>
      </c>
      <c r="G25" s="116">
        <v>2</v>
      </c>
      <c r="H25" s="117">
        <v>0</v>
      </c>
      <c r="I25" s="1" t="str"/>
      <c r="J25" s="116">
        <f>INT(60+17*路线!B21+9*路线!B29+40)-ROW()*1e-05</f>
      </c>
      <c r="K25" s="1" t="str"/>
      <c r="L25" s="111">
        <f>IF(AND(OR(E25=1,E25=0),G25=1),D25,"")</f>
      </c>
      <c r="M25" s="111">
        <f>IF(AND(OR(E25=2,E25=0),G25=1),D25,"")</f>
      </c>
      <c r="N25" s="111">
        <f>IF(AND(OR(E25=3,E25=0),G25=1),D25,"")</f>
      </c>
      <c r="O25" s="111">
        <f>IF(AND(OR(E25=1,E25=0),G25=2),D25,"")</f>
      </c>
      <c r="P25" s="111">
        <f>IF(AND(OR(E25=2,E25=0),G25=2),D25,"")</f>
      </c>
      <c r="Q25" s="111">
        <f>IF(AND(OR(E25=3,E25=0),G25=2),D25,"")</f>
      </c>
      <c r="R25" s="111">
        <f>IF(AND(OR(E25=1,E25=0),G25=3),D25,"")</f>
      </c>
      <c r="S25" s="111">
        <f>IF(AND(OR(E25=2,E25=0),G25=3),D25,"")</f>
      </c>
      <c r="T25" s="111">
        <f>IF(AND(OR(E25=3,E25=0),G25=3),D25,"")</f>
      </c>
      <c r="U25" s="1" t="str"/>
      <c r="V25" s="1" t="str"/>
      <c r="W25" s="1" t="str"/>
      <c r="X25" s="1" t="str"/>
      <c r="Y25" s="1" t="str"/>
      <c r="Z25" s="1" t="str"/>
      <c r="AA25" s="1" t="str"/>
      <c r="AB25" s="1" t="str"/>
      <c r="AC25" s="1" t="str"/>
      <c r="AD25" s="111">
        <f>IF(AND(OR(E25=1,E25=0),G25=1),J25,"")</f>
      </c>
      <c r="AE25" s="111">
        <f>IF(AND(OR(E25=1,E25=0),G25=2),J25,"")</f>
      </c>
      <c r="AF25" s="111">
        <f>IF(AND(OR(E25=1,E25=0),G25=3),J25,"")</f>
      </c>
      <c r="AG25" s="1" t="str"/>
      <c r="AH25" s="1" t="str"/>
      <c r="AI25" s="1" t="str"/>
      <c r="AJ25" s="111">
        <f>IF(AND(OR(E25=2,E25=0),G25=1),J25,"")</f>
      </c>
      <c r="AK25" s="111">
        <f>IF(AND(OR(E25=2,E25=0),G25=2),J25,"")</f>
      </c>
      <c r="AL25" s="111">
        <f>IF(AND(OR(E25=2,E25=0),G25=3),J25,"")</f>
      </c>
      <c r="AM25" s="1" t="str"/>
      <c r="AN25" s="1" t="str"/>
      <c r="AO25" s="1" t="str"/>
      <c r="AP25" s="111">
        <f>IF(AND(OR(E25=3,E25=0),G25=1),J25,"")</f>
      </c>
      <c r="AQ25" s="111">
        <f>IF(AND(OR(E25=3,E25=0),G25=2),J25,"")</f>
      </c>
      <c r="AR25" s="111">
        <f>IF(AND(OR(E25=3,E25=0),G25=3),J25,"")</f>
      </c>
    </row>
    <row customHeight="true" ht="19" r="26">
      <c r="A26" s="75" t="str">
        <v>はいっ、みんなも一緒に♪（fes3）</v>
      </c>
      <c r="B26" s="75" t="str"/>
      <c r="C26" s="75" t="str"/>
      <c r="D26" s="116">
        <f>持有情况!H82-ROW()*1e-05</f>
      </c>
      <c r="E26" s="116">
        <v>3</v>
      </c>
      <c r="F26" s="116">
        <v>1</v>
      </c>
      <c r="G26" s="116">
        <v>1</v>
      </c>
      <c r="H26" s="117">
        <v>0</v>
      </c>
      <c r="I26" s="1" t="str"/>
      <c r="J26" s="116">
        <f>INT((8.5/100)*路线!B13+15*路线!B31+40)-ROW()*1e-05</f>
      </c>
      <c r="K26" s="1" t="str"/>
      <c r="L26" s="111">
        <f>IF(AND(OR(E26=1,E26=0),G26=1),D26,"")</f>
      </c>
      <c r="M26" s="111">
        <f>IF(AND(OR(E26=2,E26=0),G26=1),D26,"")</f>
      </c>
      <c r="N26" s="111">
        <f>IF(AND(OR(E26=3,E26=0),G26=1),D26,"")</f>
      </c>
      <c r="O26" s="111">
        <f>IF(AND(OR(E26=1,E26=0),G26=2),D26,"")</f>
      </c>
      <c r="P26" s="111">
        <f>IF(AND(OR(E26=2,E26=0),G26=2),D26,"")</f>
      </c>
      <c r="Q26" s="111">
        <f>IF(AND(OR(E26=3,E26=0),G26=2),D26,"")</f>
      </c>
      <c r="R26" s="111">
        <f>IF(AND(OR(E26=1,E26=0),G26=3),D26,"")</f>
      </c>
      <c r="S26" s="111">
        <f>IF(AND(OR(E26=2,E26=0),G26=3),D26,"")</f>
      </c>
      <c r="T26" s="111">
        <f>IF(AND(OR(E26=3,E26=0),G26=3),D26,"")</f>
      </c>
      <c r="U26" s="1" t="str"/>
      <c r="V26" s="1" t="str"/>
      <c r="W26" s="1" t="str"/>
      <c r="X26" s="1" t="str"/>
      <c r="Y26" s="1" t="str"/>
      <c r="Z26" s="1" t="str"/>
      <c r="AA26" s="1" t="str"/>
      <c r="AB26" s="1" t="str"/>
      <c r="AC26" s="1" t="str"/>
      <c r="AD26" s="111">
        <f>IF(AND(OR(E26=1,E26=0),G26=1),J26,"")</f>
      </c>
      <c r="AE26" s="111">
        <f>IF(AND(OR(E26=1,E26=0),G26=2),J26,"")</f>
      </c>
      <c r="AF26" s="111">
        <f>IF(AND(OR(E26=1,E26=0),G26=3),J26,"")</f>
      </c>
      <c r="AG26" s="1" t="str"/>
      <c r="AH26" s="1" t="str"/>
      <c r="AI26" s="1" t="str"/>
      <c r="AJ26" s="111">
        <f>IF(AND(OR(E26=2,E26=0),G26=1),J26,"")</f>
      </c>
      <c r="AK26" s="111">
        <f>IF(AND(OR(E26=2,E26=0),G26=2),J26,"")</f>
      </c>
      <c r="AL26" s="111">
        <f>IF(AND(OR(E26=2,E26=0),G26=3),J26,"")</f>
      </c>
      <c r="AM26" s="1" t="str"/>
      <c r="AN26" s="1" t="str"/>
      <c r="AO26" s="1" t="str"/>
      <c r="AP26" s="111">
        <f>IF(AND(OR(E26=3,E26=0),G26=1),J26,"")</f>
      </c>
      <c r="AQ26" s="111">
        <f>IF(AND(OR(E26=3,E26=0),G26=2),J26,"")</f>
      </c>
      <c r="AR26" s="111">
        <f>IF(AND(OR(E26=3,E26=0),G26=3),J26,"")</f>
      </c>
    </row>
    <row customHeight="true" ht="19" r="27">
      <c r="A27" s="86" t="str">
        <v>あったかいね（围巾）</v>
      </c>
      <c r="B27" s="86" t="str"/>
      <c r="C27" s="86" t="str"/>
      <c r="D27" s="116">
        <f>持有情况!AB88-ROW()*1e-05</f>
      </c>
      <c r="E27" s="116">
        <v>2</v>
      </c>
      <c r="F27" s="116">
        <v>1</v>
      </c>
      <c r="G27" s="116">
        <v>3</v>
      </c>
      <c r="H27" s="116">
        <v>1</v>
      </c>
      <c r="I27" s="111" t="str">
        <v>围巾</v>
      </c>
      <c r="J27" s="116">
        <f>INT(60+3*路线!B24+11*路线!B33+40)-ROW()*1e-05</f>
      </c>
      <c r="K27" s="1" t="str"/>
      <c r="L27" s="111">
        <f>IF(AND(OR(E27=1,E27=0),G27=1),D27,"")</f>
      </c>
      <c r="M27" s="111">
        <f>IF(AND(OR(E27=2,E27=0),G27=1),D27,"")</f>
      </c>
      <c r="N27" s="111">
        <f>IF(AND(OR(E27=3,E27=0),G27=1),D27,"")</f>
      </c>
      <c r="O27" s="111">
        <f>IF(AND(OR(E27=1,E27=0),G27=2),D27,"")</f>
      </c>
      <c r="P27" s="111">
        <f>IF(AND(OR(E27=2,E27=0),G27=2),D27,"")</f>
      </c>
      <c r="Q27" s="111">
        <f>IF(AND(OR(E27=3,E27=0),G27=2),D27,"")</f>
      </c>
      <c r="R27" s="111">
        <f>IF(AND(OR(E27=1,E27=0),G27=3),D27,"")</f>
      </c>
      <c r="S27" s="111">
        <f>IF(AND(OR(E27=2,E27=0),G27=3),D27,"")</f>
      </c>
      <c r="T27" s="111">
        <f>IF(AND(OR(E27=3,E27=0),G27=3),D27,"")</f>
      </c>
      <c r="U27" s="1" t="str"/>
      <c r="V27" s="1" t="str"/>
      <c r="W27" s="1" t="str"/>
      <c r="X27" s="1" t="str"/>
      <c r="Y27" s="1" t="str"/>
      <c r="Z27" s="1" t="str"/>
      <c r="AA27" s="1" t="str"/>
      <c r="AB27" s="1" t="str"/>
      <c r="AC27" s="1" t="str"/>
      <c r="AD27" s="111">
        <f>IF(AND(OR(E27=1,E27=0),G27=1),J27,"")</f>
      </c>
      <c r="AE27" s="111">
        <f>IF(AND(OR(E27=1,E27=0),G27=2),J27,"")</f>
      </c>
      <c r="AF27" s="111">
        <f>IF(AND(OR(E27=1,E27=0),G27=3),J27,"")</f>
      </c>
      <c r="AG27" s="1" t="str"/>
      <c r="AH27" s="1" t="str"/>
      <c r="AI27" s="1" t="str"/>
      <c r="AJ27" s="111">
        <f>IF(AND(OR(E27=2,E27=0),G27=1),J27,"")</f>
      </c>
      <c r="AK27" s="111">
        <f>IF(AND(OR(E27=2,E27=0),G27=2),J27,"")</f>
      </c>
      <c r="AL27" s="111">
        <f>IF(AND(OR(E27=2,E27=0),G27=3),J27,"")</f>
      </c>
      <c r="AM27" s="1" t="str"/>
      <c r="AN27" s="1" t="str"/>
      <c r="AO27" s="1" t="str"/>
      <c r="AP27" s="111">
        <f>IF(AND(OR(E27=3,E27=0),G27=1),J27,"")</f>
      </c>
      <c r="AQ27" s="111">
        <f>IF(AND(OR(E27=3,E27=0),G27=2),J27,"")</f>
      </c>
      <c r="AR27" s="111">
        <f>IF(AND(OR(E27=3,E27=0),G27=3),J27,"")</f>
      </c>
    </row>
    <row customHeight="true" ht="19" r="28">
      <c r="A28" s="99" t="str">
        <v>きゅる～んωポーズッ☆（可爱pose）</v>
      </c>
      <c r="B28" s="99" t="str"/>
      <c r="C28" s="99" t="str"/>
      <c r="D28" s="116">
        <f>IF(路线!B4="计算",持有情况!AW78,持有情况!AV76)-ROW()*1e-05</f>
      </c>
      <c r="E28" s="116">
        <v>2</v>
      </c>
      <c r="F28" s="116">
        <v>1</v>
      </c>
      <c r="G28" s="116">
        <v>2</v>
      </c>
      <c r="H28" s="117">
        <v>0</v>
      </c>
      <c r="I28" s="1" t="str"/>
      <c r="J28" s="116">
        <f>IF(路线!B4="计算",INT(45+17+13*路线!B21+30+持有情况!AW75),INT(45+17+13*路线!B21+30))-ROW()*1e-05</f>
      </c>
      <c r="K28" s="1" t="str"/>
      <c r="L28" s="111">
        <f>IF(AND(OR(E28=1,E28=0),G28=1),D28,"")</f>
      </c>
      <c r="M28" s="111">
        <f>IF(AND(OR(E28=2,E28=0),G28=1),D28,"")</f>
      </c>
      <c r="N28" s="111">
        <f>IF(AND(OR(E28=3,E28=0),G28=1),D28,"")</f>
      </c>
      <c r="O28" s="111">
        <f>IF(AND(OR(E28=1,E28=0),G28=2),D28,"")</f>
      </c>
      <c r="P28" s="111">
        <f>IF(AND(OR(E28=2,E28=0),G28=2),D28,"")</f>
      </c>
      <c r="Q28" s="111">
        <f>IF(AND(OR(E28=3,E28=0),G28=2),D28,"")</f>
      </c>
      <c r="R28" s="111">
        <f>IF(AND(OR(E28=1,E28=0),G28=3),D28,"")</f>
      </c>
      <c r="S28" s="111">
        <f>IF(AND(OR(E28=2,E28=0),G28=3),D28,"")</f>
      </c>
      <c r="T28" s="111">
        <f>IF(AND(OR(E28=3,E28=0),G28=3),D28,"")</f>
      </c>
      <c r="U28" s="1" t="str"/>
      <c r="V28" s="1" t="str"/>
      <c r="W28" s="1" t="str"/>
      <c r="X28" s="1" t="str"/>
      <c r="Y28" s="1" t="str"/>
      <c r="Z28" s="1" t="str"/>
      <c r="AA28" s="1" t="str"/>
      <c r="AB28" s="1" t="str"/>
      <c r="AC28" s="1" t="str"/>
      <c r="AD28" s="111">
        <f>IF(AND(OR(E28=1,E28=0),G28=1),J28,"")</f>
      </c>
      <c r="AE28" s="111">
        <f>IF(AND(OR(E28=1,E28=0),G28=2),J28,"")</f>
      </c>
      <c r="AF28" s="111">
        <f>IF(AND(OR(E28=1,E28=0),G28=3),J28,"")</f>
      </c>
      <c r="AG28" s="1" t="str"/>
      <c r="AH28" s="1" t="str"/>
      <c r="AI28" s="1" t="str"/>
      <c r="AJ28" s="111">
        <f>IF(AND(OR(E28=2,E28=0),G28=1),J28,"")</f>
      </c>
      <c r="AK28" s="111">
        <f>IF(AND(OR(E28=2,E28=0),G28=2),J28,"")</f>
      </c>
      <c r="AL28" s="111">
        <f>IF(AND(OR(E28=2,E28=0),G28=3),J28,"")</f>
      </c>
      <c r="AM28" s="1" t="str"/>
      <c r="AN28" s="1" t="str"/>
      <c r="AO28" s="1" t="str"/>
      <c r="AP28" s="111">
        <f>IF(AND(OR(E28=3,E28=0),G28=1),J28,"")</f>
      </c>
      <c r="AQ28" s="111">
        <f>IF(AND(OR(E28=3,E28=0),G28=2),J28,"")</f>
      </c>
      <c r="AR28" s="111">
        <f>IF(AND(OR(E28=3,E28=0),G28=3),J28,"")</f>
      </c>
    </row>
    <row customHeight="true" ht="19" r="29">
      <c r="A29" s="99" t="str">
        <v>バズっちゃお！（椰树椰汁）</v>
      </c>
      <c r="B29" s="99" t="str"/>
      <c r="C29" s="99" t="str"/>
      <c r="D29" s="116">
        <f>持有情况!AV64-ROW()*1e-05</f>
      </c>
      <c r="E29" s="116">
        <v>2</v>
      </c>
      <c r="F29" s="117">
        <v>0</v>
      </c>
      <c r="G29" s="116">
        <v>2</v>
      </c>
      <c r="H29" s="116">
        <v>1</v>
      </c>
      <c r="I29" s="111" t="str">
        <v>椰树椰汁</v>
      </c>
      <c r="J29" s="116">
        <f>IF(路线!C6="计算",INT(45+8*路线!B33+11*路线!B34+10*路线!B31+30+20)-ROW()*1e-05,INT(45+8*路线!B33+11*路线!B34+10*路线!B31+30)-ROW()*1e-05)</f>
      </c>
      <c r="K29" s="1" t="str"/>
      <c r="L29" s="111">
        <f>IF(AND(OR(E29=1,E29=0),G29=1),D29,"")</f>
      </c>
      <c r="M29" s="111">
        <f>IF(AND(OR(E29=2,E29=0),G29=1),D29,"")</f>
      </c>
      <c r="N29" s="111">
        <f>IF(AND(OR(E29=3,E29=0),G29=1),D29,"")</f>
      </c>
      <c r="O29" s="111">
        <f>IF(AND(OR(E29=1,E29=0),G29=2),D29,"")</f>
      </c>
      <c r="P29" s="111">
        <f>IF(AND(OR(E29=2,E29=0),G29=2),D29,"")</f>
      </c>
      <c r="Q29" s="111">
        <f>IF(AND(OR(E29=3,E29=0),G29=2),D29,"")</f>
      </c>
      <c r="R29" s="111">
        <f>IF(AND(OR(E29=1,E29=0),G29=3),D29,"")</f>
      </c>
      <c r="S29" s="111">
        <f>IF(AND(OR(E29=2,E29=0),G29=3),D29,"")</f>
      </c>
      <c r="T29" s="111">
        <f>IF(AND(OR(E29=3,E29=0),G29=3),D29,"")</f>
      </c>
      <c r="U29" s="1" t="str"/>
      <c r="V29" s="1" t="str"/>
      <c r="W29" s="1" t="str"/>
      <c r="X29" s="1" t="str"/>
      <c r="Y29" s="1" t="str"/>
      <c r="Z29" s="1" t="str"/>
      <c r="AA29" s="1" t="str"/>
      <c r="AB29" s="1" t="str"/>
      <c r="AC29" s="1" t="str"/>
      <c r="AD29" s="111">
        <f>IF(AND(OR(E29=1,E29=0),G29=1),J29,"")</f>
      </c>
      <c r="AE29" s="111">
        <f>IF(AND(OR(E29=1,E29=0),G29=2),J29,"")</f>
      </c>
      <c r="AF29" s="111">
        <f>IF(AND(OR(E29=1,E29=0),G29=3),J29,"")</f>
      </c>
      <c r="AG29" s="1" t="str"/>
      <c r="AH29" s="1" t="str"/>
      <c r="AI29" s="1" t="str"/>
      <c r="AJ29" s="111">
        <f>IF(AND(OR(E29=2,E29=0),G29=1),J29,"")</f>
      </c>
      <c r="AK29" s="111">
        <f>IF(AND(OR(E29=2,E29=0),G29=2),J29,"")</f>
      </c>
      <c r="AL29" s="111">
        <f>IF(AND(OR(E29=2,E29=0),G29=3),J29,"")</f>
      </c>
      <c r="AM29" s="1" t="str"/>
      <c r="AN29" s="1" t="str"/>
      <c r="AO29" s="1" t="str"/>
      <c r="AP29" s="111">
        <f>IF(AND(OR(E29=3,E29=0),G29=1),J29,"")</f>
      </c>
      <c r="AQ29" s="111">
        <f>IF(AND(OR(E29=3,E29=0),G29=2),J29,"")</f>
      </c>
      <c r="AR29" s="111">
        <f>IF(AND(OR(E29=3,E29=0),G29=3),J29,"")</f>
      </c>
    </row>
    <row customHeight="true" ht="19" r="30">
      <c r="A30" s="75" t="str">
        <v>まごころを込めて（巧可琴音）</v>
      </c>
      <c r="B30" s="75" t="str"/>
      <c r="C30" s="75" t="str"/>
      <c r="D30" s="116">
        <f>持有情况!AL70-ROW()*1e-05</f>
      </c>
      <c r="E30" s="116">
        <v>2</v>
      </c>
      <c r="F30" s="117">
        <v>0</v>
      </c>
      <c r="G30" s="116">
        <v>1</v>
      </c>
      <c r="H30" s="116">
        <v>1</v>
      </c>
      <c r="I30" s="111" t="str">
        <v>巧可琴音</v>
      </c>
      <c r="J30" s="116">
        <f>IF(路线!C6="计算",INT((6.4/100)*路线!B13+5*路线!B30+10*路线!B31+30+20)-ROW()*1e-05,INT((6.4/100)*路线!B13+5*路线!B30+10*路线!B31+30)-ROW()*1e-05)</f>
      </c>
      <c r="K30" s="1" t="str"/>
      <c r="L30" s="111">
        <f>IF(AND(OR(E30=1,E30=0),G30=1),D30,"")</f>
      </c>
      <c r="M30" s="111">
        <f>IF(AND(OR(E30=2,E30=0),G30=1),D30,"")</f>
      </c>
      <c r="N30" s="111">
        <f>IF(AND(OR(E30=3,E30=0),G30=1),D30,"")</f>
      </c>
      <c r="O30" s="111">
        <f>IF(AND(OR(E30=1,E30=0),G30=2),D30,"")</f>
      </c>
      <c r="P30" s="111">
        <f>IF(AND(OR(E30=2,E30=0),G30=2),D30,"")</f>
      </c>
      <c r="Q30" s="111">
        <f>IF(AND(OR(E30=3,E30=0),G30=2),D30,"")</f>
      </c>
      <c r="R30" s="111">
        <f>IF(AND(OR(E30=1,E30=0),G30=3),D30,"")</f>
      </c>
      <c r="S30" s="111">
        <f>IF(AND(OR(E30=2,E30=0),G30=3),D30,"")</f>
      </c>
      <c r="T30" s="111">
        <f>IF(AND(OR(E30=3,E30=0),G30=3),D30,"")</f>
      </c>
      <c r="U30" s="1" t="str"/>
      <c r="V30" s="1" t="str"/>
      <c r="W30" s="1" t="str"/>
      <c r="X30" s="1" t="str"/>
      <c r="Y30" s="1" t="str"/>
      <c r="Z30" s="1" t="str"/>
      <c r="AA30" s="1" t="str"/>
      <c r="AB30" s="1" t="str"/>
      <c r="AC30" s="1" t="str"/>
      <c r="AD30" s="111">
        <f>IF(AND(OR(E30=1,E30=0),G30=1),J30,"")</f>
      </c>
      <c r="AE30" s="111">
        <f>IF(AND(OR(E30=1,E30=0),G30=2),J30,"")</f>
      </c>
      <c r="AF30" s="111">
        <f>IF(AND(OR(E30=1,E30=0),G30=3),J30,"")</f>
      </c>
      <c r="AG30" s="1" t="str"/>
      <c r="AH30" s="1" t="str"/>
      <c r="AI30" s="1" t="str"/>
      <c r="AJ30" s="111">
        <f>IF(AND(OR(E30=2,E30=0),G30=1),J30,"")</f>
      </c>
      <c r="AK30" s="111">
        <f>IF(AND(OR(E30=2,E30=0),G30=2),J30,"")</f>
      </c>
      <c r="AL30" s="111">
        <f>IF(AND(OR(E30=2,E30=0),G30=3),J30,"")</f>
      </c>
      <c r="AM30" s="1" t="str"/>
      <c r="AN30" s="1" t="str"/>
      <c r="AO30" s="1" t="str"/>
      <c r="AP30" s="111">
        <f>IF(AND(OR(E30=3,E30=0),G30=1),J30,"")</f>
      </c>
      <c r="AQ30" s="111">
        <f>IF(AND(OR(E30=3,E30=0),G30=2),J30,"")</f>
      </c>
      <c r="AR30" s="111">
        <f>IF(AND(OR(E30=3,E30=0),G30=3),J30,"")</f>
      </c>
    </row>
    <row customHeight="true" ht="19" r="31">
      <c r="A31" s="75" t="str">
        <v>二人ならあっという間だね（红50）</v>
      </c>
      <c r="B31" s="75" t="str"/>
      <c r="C31" s="75" t="str"/>
      <c r="D31" s="116">
        <f>持有情况!H64-ROW()*1e-05</f>
      </c>
      <c r="E31" s="117">
        <v>0</v>
      </c>
      <c r="F31" s="117">
        <v>0</v>
      </c>
      <c r="G31" s="116">
        <v>1</v>
      </c>
      <c r="H31" s="116">
        <v>1</v>
      </c>
      <c r="I31" s="111" t="str">
        <v>红50</v>
      </c>
      <c r="J31" s="116">
        <f>INT((8.5/100)*路线!B13+7*路线!B30+4*(路线!B28+路线!B29)+17*路线!B21+40)-ROW()*1e-05</f>
      </c>
      <c r="K31" s="1" t="str"/>
      <c r="L31" s="111">
        <f>IF(AND(OR(E31=1,E31=0),G31=1),D31,"")</f>
      </c>
      <c r="M31" s="111">
        <f>IF(AND(OR(E31=2,E31=0),G31=1),D31,"")</f>
      </c>
      <c r="N31" s="111">
        <f>IF(AND(OR(E31=3,E31=0),G31=1),D31,"")</f>
      </c>
      <c r="O31" s="111">
        <f>IF(AND(OR(E31=1,E31=0),G31=2),D31,"")</f>
      </c>
      <c r="P31" s="111">
        <f>IF(AND(OR(E31=2,E31=0),G31=2),D31,"")</f>
      </c>
      <c r="Q31" s="111">
        <f>IF(AND(OR(E31=3,E31=0),G31=2),D31,"")</f>
      </c>
      <c r="R31" s="111">
        <f>IF(AND(OR(E31=1,E31=0),G31=3),D31,"")</f>
      </c>
      <c r="S31" s="111">
        <f>IF(AND(OR(E31=2,E31=0),G31=3),D31,"")</f>
      </c>
      <c r="T31" s="111">
        <f>IF(AND(OR(E31=3,E31=0),G31=3),D31,"")</f>
      </c>
      <c r="U31" s="1" t="str"/>
      <c r="V31" s="1" t="str"/>
      <c r="W31" s="1" t="str"/>
      <c r="X31" s="1" t="str"/>
      <c r="Y31" s="1" t="str"/>
      <c r="Z31" s="1" t="str"/>
      <c r="AA31" s="1" t="str"/>
      <c r="AB31" s="1" t="str"/>
      <c r="AC31" s="1" t="str"/>
      <c r="AD31" s="111">
        <f>IF(AND(OR(E31=1,E31=0),G31=1),J31,"")</f>
      </c>
      <c r="AE31" s="111">
        <f>IF(AND(OR(E31=1,E31=0),G31=2),J31,"")</f>
      </c>
      <c r="AF31" s="111">
        <f>IF(AND(OR(E31=1,E31=0),G31=3),J31,"")</f>
      </c>
      <c r="AG31" s="1" t="str"/>
      <c r="AH31" s="1" t="str"/>
      <c r="AI31" s="1" t="str"/>
      <c r="AJ31" s="111">
        <f>IF(AND(OR(E31=2,E31=0),G31=1),J31,"")</f>
      </c>
      <c r="AK31" s="111">
        <f>IF(AND(OR(E31=2,E31=0),G31=2),J31,"")</f>
      </c>
      <c r="AL31" s="111">
        <f>IF(AND(OR(E31=2,E31=0),G31=3),J31,"")</f>
      </c>
      <c r="AM31" s="1" t="str"/>
      <c r="AN31" s="1" t="str"/>
      <c r="AO31" s="1" t="str"/>
      <c r="AP31" s="111">
        <f>IF(AND(OR(E31=3,E31=0),G31=1),J31,"")</f>
      </c>
      <c r="AQ31" s="111">
        <f>IF(AND(OR(E31=3,E31=0),G31=2),J31,"")</f>
      </c>
      <c r="AR31" s="111">
        <f>IF(AND(OR(E31=3,E31=0),G31=3),J31,"")</f>
      </c>
    </row>
    <row customHeight="true" ht="19" r="32">
      <c r="A32" s="86" t="str">
        <v>ぜったい追いついてやる！（红叶）</v>
      </c>
      <c r="B32" s="86" t="str"/>
      <c r="C32" s="86" t="str"/>
      <c r="D32" s="116">
        <f>持有情况!AB76-ROW()*1e-05</f>
      </c>
      <c r="E32" s="117">
        <v>0</v>
      </c>
      <c r="F32" s="117">
        <v>0</v>
      </c>
      <c r="G32" s="116">
        <v>3</v>
      </c>
      <c r="H32" s="116">
        <v>1</v>
      </c>
      <c r="I32" s="111" t="str">
        <v>红叶</v>
      </c>
      <c r="J32" s="116">
        <f>IF(路线!C6="计算",INT((8.5/100)*路线!B13+7*路线!B30+4*(路线!B28+路线!B29)+17*路线!B21+40+20)-ROW()*1e-05,INT((8.5/100)*路线!B13+7*路线!B30+4*(路线!B28+路线!B29)+17*路线!B21+40)-ROW()*1e-05)</f>
      </c>
      <c r="K32" s="1" t="str"/>
      <c r="L32" s="111">
        <f>IF(AND(OR(E32=1,E32=0),G32=1),D32,"")</f>
      </c>
      <c r="M32" s="111">
        <f>IF(AND(OR(E32=2,E32=0),G32=1),D32,"")</f>
      </c>
      <c r="N32" s="111">
        <f>IF(AND(OR(E32=3,E32=0),G32=1),D32,"")</f>
      </c>
      <c r="O32" s="111">
        <f>IF(AND(OR(E32=1,E32=0),G32=2),D32,"")</f>
      </c>
      <c r="P32" s="111">
        <f>IF(AND(OR(E32=2,E32=0),G32=2),D32,"")</f>
      </c>
      <c r="Q32" s="111">
        <f>IF(AND(OR(E32=3,E32=0),G32=2),D32,"")</f>
      </c>
      <c r="R32" s="111">
        <f>IF(AND(OR(E32=1,E32=0),G32=3),D32,"")</f>
      </c>
      <c r="S32" s="111">
        <f>IF(AND(OR(E32=2,E32=0),G32=3),D32,"")</f>
      </c>
      <c r="T32" s="111">
        <f>IF(AND(OR(E32=3,E32=0),G32=3),D32,"")</f>
      </c>
      <c r="U32" s="1" t="str"/>
      <c r="V32" s="1" t="str"/>
      <c r="W32" s="1" t="str"/>
      <c r="X32" s="1" t="str"/>
      <c r="Y32" s="1" t="str"/>
      <c r="Z32" s="1" t="str"/>
      <c r="AA32" s="1" t="str"/>
      <c r="AB32" s="1" t="str"/>
      <c r="AC32" s="1" t="str"/>
      <c r="AD32" s="111">
        <f>IF(AND(OR(E32=1,E32=0),G32=1),J32,"")</f>
      </c>
      <c r="AE32" s="111">
        <f>IF(AND(OR(E32=1,E32=0),G32=2),J32,"")</f>
      </c>
      <c r="AF32" s="111">
        <f>IF(AND(OR(E32=1,E32=0),G32=3),J32,"")</f>
      </c>
      <c r="AG32" s="1" t="str"/>
      <c r="AH32" s="1" t="str"/>
      <c r="AI32" s="1" t="str"/>
      <c r="AJ32" s="111">
        <f>IF(AND(OR(E32=2,E32=0),G32=1),J32,"")</f>
      </c>
      <c r="AK32" s="111">
        <f>IF(AND(OR(E32=2,E32=0),G32=2),J32,"")</f>
      </c>
      <c r="AL32" s="111">
        <f>IF(AND(OR(E32=2,E32=0),G32=3),J32,"")</f>
      </c>
      <c r="AM32" s="1" t="str"/>
      <c r="AN32" s="1" t="str"/>
      <c r="AO32" s="1" t="str"/>
      <c r="AP32" s="111">
        <f>IF(AND(OR(E32=3,E32=0),G32=1),J32,"")</f>
      </c>
      <c r="AQ32" s="111">
        <f>IF(AND(OR(E32=3,E32=0),G32=2),J32,"")</f>
      </c>
      <c r="AR32" s="111">
        <f>IF(AND(OR(E32=3,E32=0),G32=3),J32,"")</f>
      </c>
    </row>
    <row customHeight="true" ht="19" r="33">
      <c r="A33" s="86" t="str">
        <v>私の目に狂いはない（黄再动）</v>
      </c>
      <c r="B33" s="86" t="str"/>
      <c r="C33" s="86" t="str"/>
      <c r="D33" s="116">
        <f>持有情况!AB10-ROW()*1e-05</f>
      </c>
      <c r="E33" s="117">
        <v>0</v>
      </c>
      <c r="F33" s="117">
        <v>0</v>
      </c>
      <c r="G33" s="116">
        <v>3</v>
      </c>
      <c r="H33" s="116">
        <v>1</v>
      </c>
      <c r="I33" s="111" t="str">
        <v>黄再动</v>
      </c>
      <c r="J33" s="116">
        <f>INT(路线!B13*(8.5/100)+7*路线!B30+4*(路线!B28+路线!B29)+40)-ROW()*1e-05</f>
      </c>
      <c r="K33" s="1" t="str"/>
      <c r="L33" s="111">
        <f>IF(AND(OR(E33=1,E33=0),G33=1),D33,"")</f>
      </c>
      <c r="M33" s="111">
        <f>IF(AND(OR(E33=2,E33=0),G33=1),D33,"")</f>
      </c>
      <c r="N33" s="111">
        <f>IF(AND(OR(E33=3,E33=0),G33=1),D33,"")</f>
      </c>
      <c r="O33" s="111">
        <f>IF(AND(OR(E33=1,E33=0),G33=2),D33,"")</f>
      </c>
      <c r="P33" s="111">
        <f>IF(AND(OR(E33=2,E33=0),G33=2),D33,"")</f>
      </c>
      <c r="Q33" s="111">
        <f>IF(AND(OR(E33=3,E33=0),G33=2),D33,"")</f>
      </c>
      <c r="R33" s="111">
        <f>IF(AND(OR(E33=1,E33=0),G33=3),D33,"")</f>
      </c>
      <c r="S33" s="111">
        <f>IF(AND(OR(E33=2,E33=0),G33=3),D33,"")</f>
      </c>
      <c r="T33" s="111">
        <f>IF(AND(OR(E33=3,E33=0),G33=3),D33,"")</f>
      </c>
      <c r="U33" s="1" t="str"/>
      <c r="V33" s="1" t="str"/>
      <c r="W33" s="1" t="str"/>
      <c r="X33" s="1" t="str"/>
      <c r="Y33" s="1" t="str"/>
      <c r="Z33" s="1" t="str"/>
      <c r="AA33" s="1" t="str"/>
      <c r="AB33" s="1" t="str"/>
      <c r="AC33" s="1" t="str"/>
      <c r="AD33" s="111">
        <f>IF(AND(OR(E33=1,E33=0),G33=1),J33,"")</f>
      </c>
      <c r="AE33" s="111">
        <f>IF(AND(OR(E33=1,E33=0),G33=2),J33,"")</f>
      </c>
      <c r="AF33" s="111">
        <f>IF(AND(OR(E33=1,E33=0),G33=3),J33,"")</f>
      </c>
      <c r="AG33" s="1" t="str"/>
      <c r="AH33" s="1" t="str"/>
      <c r="AI33" s="1" t="str"/>
      <c r="AJ33" s="111">
        <f>IF(AND(OR(E33=2,E33=0),G33=1),J33,"")</f>
      </c>
      <c r="AK33" s="111">
        <f>IF(AND(OR(E33=2,E33=0),G33=2),J33,"")</f>
      </c>
      <c r="AL33" s="111">
        <f>IF(AND(OR(E33=2,E33=0),G33=3),J33,"")</f>
      </c>
      <c r="AM33" s="1" t="str"/>
      <c r="AN33" s="1" t="str"/>
      <c r="AO33" s="1" t="str"/>
      <c r="AP33" s="111">
        <f>IF(AND(OR(E33=3,E33=0),G33=1),J33,"")</f>
      </c>
      <c r="AQ33" s="111">
        <f>IF(AND(OR(E33=3,E33=0),G33=2),J33,"")</f>
      </c>
      <c r="AR33" s="111">
        <f>IF(AND(OR(E33=3,E33=0),G33=3),J33,"")</f>
      </c>
    </row>
    <row customHeight="true" ht="19" r="34">
      <c r="A34" s="99" t="str">
        <v>ふわふわなお面？（小熊）</v>
      </c>
      <c r="B34" s="99" t="str"/>
      <c r="C34" s="99" t="str"/>
      <c r="D34" s="116">
        <f>持有情况!AV40-ROW()*1e-05</f>
      </c>
      <c r="E34" s="117">
        <v>0</v>
      </c>
      <c r="F34" s="116">
        <v>1</v>
      </c>
      <c r="G34" s="116">
        <v>2</v>
      </c>
      <c r="H34" s="117">
        <v>0</v>
      </c>
      <c r="I34" s="1" t="str"/>
      <c r="J34" s="116">
        <f>INT(45+10*路线!B31+13*路线!B21+30)-ROW()*1e-05</f>
      </c>
      <c r="K34" s="1" t="str"/>
      <c r="L34" s="111">
        <f>IF(AND(OR(E34=1,E34=0),G34=1),D34,"")</f>
      </c>
      <c r="M34" s="111">
        <f>IF(AND(OR(E34=2,E34=0),G34=1),D34,"")</f>
      </c>
      <c r="N34" s="111">
        <f>IF(AND(OR(E34=3,E34=0),G34=1),D34,"")</f>
      </c>
      <c r="O34" s="111">
        <f>IF(AND(OR(E34=1,E34=0),G34=2),D34,"")</f>
      </c>
      <c r="P34" s="111">
        <f>IF(AND(OR(E34=2,E34=0),G34=2),D34,"")</f>
      </c>
      <c r="Q34" s="111">
        <f>IF(AND(OR(E34=3,E34=0),G34=2),D34,"")</f>
      </c>
      <c r="R34" s="111">
        <f>IF(AND(OR(E34=1,E34=0),G34=3),D34,"")</f>
      </c>
      <c r="S34" s="111">
        <f>IF(AND(OR(E34=2,E34=0),G34=3),D34,"")</f>
      </c>
      <c r="T34" s="111">
        <f>IF(AND(OR(E34=3,E34=0),G34=3),D34,"")</f>
      </c>
      <c r="U34" s="1" t="str"/>
      <c r="V34" s="1" t="str"/>
      <c r="W34" s="1" t="str"/>
      <c r="X34" s="1" t="str"/>
      <c r="Y34" s="1" t="str"/>
      <c r="Z34" s="1" t="str"/>
      <c r="AA34" s="1" t="str"/>
      <c r="AB34" s="1" t="str"/>
      <c r="AC34" s="1" t="str"/>
      <c r="AD34" s="111">
        <f>IF(AND(OR(E34=1,E34=0),G34=1),J34,"")</f>
      </c>
      <c r="AE34" s="111">
        <f>IF(AND(OR(E34=1,E34=0),G34=2),J34,"")</f>
      </c>
      <c r="AF34" s="111">
        <f>IF(AND(OR(E34=1,E34=0),G34=3),J34,"")</f>
      </c>
      <c r="AG34" s="1" t="str"/>
      <c r="AH34" s="1" t="str"/>
      <c r="AI34" s="1" t="str"/>
      <c r="AJ34" s="111">
        <f>IF(AND(OR(E34=2,E34=0),G34=1),J34,"")</f>
      </c>
      <c r="AK34" s="111">
        <f>IF(AND(OR(E34=2,E34=0),G34=2),J34,"")</f>
      </c>
      <c r="AL34" s="111">
        <f>IF(AND(OR(E34=2,E34=0),G34=3),J34,"")</f>
      </c>
      <c r="AM34" s="1" t="str"/>
      <c r="AN34" s="1" t="str"/>
      <c r="AO34" s="1" t="str"/>
      <c r="AP34" s="111">
        <f>IF(AND(OR(E34=3,E34=0),G34=1),J34,"")</f>
      </c>
      <c r="AQ34" s="111">
        <f>IF(AND(OR(E34=3,E34=0),G34=2),J34,"")</f>
      </c>
      <c r="AR34" s="111">
        <f>IF(AND(OR(E34=3,E34=0),G34=3),J34,"")</f>
      </c>
    </row>
    <row customHeight="true" ht="19" r="35">
      <c r="A35" s="86" t="str">
        <v>りっぱなすすき！（麦穗）</v>
      </c>
      <c r="B35" s="86" t="str"/>
      <c r="C35" s="86" t="str"/>
      <c r="D35" s="116">
        <f>持有情况!BF46-ROW()*1e-05</f>
      </c>
      <c r="E35" s="116">
        <v>2</v>
      </c>
      <c r="F35" s="117">
        <v>0</v>
      </c>
      <c r="G35" s="116">
        <v>3</v>
      </c>
      <c r="H35" s="117">
        <v>0</v>
      </c>
      <c r="I35" s="1" t="str"/>
      <c r="J35" s="116">
        <f>INT(45+10*路线!B31+11*路线!B34+13*路线!B21+30)-ROW()*1e-05</f>
      </c>
      <c r="K35" s="1" t="str"/>
      <c r="L35" s="111">
        <f>IF(AND(OR(E35=1,E35=0),G35=1),D35,"")</f>
      </c>
      <c r="M35" s="111">
        <f>IF(AND(OR(E35=2,E35=0),G35=1),D35,"")</f>
      </c>
      <c r="N35" s="111">
        <f>IF(AND(OR(E35=3,E35=0),G35=1),D35,"")</f>
      </c>
      <c r="O35" s="111">
        <f>IF(AND(OR(E35=1,E35=0),G35=2),D35,"")</f>
      </c>
      <c r="P35" s="111">
        <f>IF(AND(OR(E35=2,E35=0),G35=2),D35,"")</f>
      </c>
      <c r="Q35" s="111">
        <f>IF(AND(OR(E35=3,E35=0),G35=2),D35,"")</f>
      </c>
      <c r="R35" s="111">
        <f>IF(AND(OR(E35=1,E35=0),G35=3),D35,"")</f>
      </c>
      <c r="S35" s="111">
        <f>IF(AND(OR(E35=2,E35=0),G35=3),D35,"")</f>
      </c>
      <c r="T35" s="111">
        <f>IF(AND(OR(E35=3,E35=0),G35=3),D35,"")</f>
      </c>
      <c r="U35" s="1" t="str"/>
      <c r="V35" s="1" t="str"/>
      <c r="W35" s="1" t="str"/>
      <c r="X35" s="1" t="str"/>
      <c r="Y35" s="1" t="str"/>
      <c r="Z35" s="1" t="str"/>
      <c r="AA35" s="1" t="str"/>
      <c r="AB35" s="1" t="str"/>
      <c r="AC35" s="1" t="str"/>
      <c r="AD35" s="111">
        <f>IF(AND(OR(E35=1,E35=0),G35=1),J35,"")</f>
      </c>
      <c r="AE35" s="111">
        <f>IF(AND(OR(E35=1,E35=0),G35=2),J35,"")</f>
      </c>
      <c r="AF35" s="111">
        <f>IF(AND(OR(E35=1,E35=0),G35=3),J35,"")</f>
      </c>
      <c r="AG35" s="1" t="str"/>
      <c r="AH35" s="1" t="str"/>
      <c r="AI35" s="1" t="str"/>
      <c r="AJ35" s="111">
        <f>IF(AND(OR(E35=2,E35=0),G35=1),J35,"")</f>
      </c>
      <c r="AK35" s="111">
        <f>IF(AND(OR(E35=2,E35=0),G35=2),J35,"")</f>
      </c>
      <c r="AL35" s="111">
        <f>IF(AND(OR(E35=2,E35=0),G35=3),J35,"")</f>
      </c>
      <c r="AM35" s="1" t="str"/>
      <c r="AN35" s="1" t="str"/>
      <c r="AO35" s="1" t="str"/>
      <c r="AP35" s="111">
        <f>IF(AND(OR(E35=3,E35=0),G35=1),J35,"")</f>
      </c>
      <c r="AQ35" s="111">
        <f>IF(AND(OR(E35=3,E35=0),G35=2),J35,"")</f>
      </c>
      <c r="AR35" s="111">
        <f>IF(AND(OR(E35=3,E35=0),G35=3),J35,"")</f>
      </c>
    </row>
    <row customHeight="true" ht="19" r="36">
      <c r="A36" s="86" t="str">
        <v>やさしさ、あったかい（白毛哭哭）</v>
      </c>
      <c r="B36" s="86" t="str"/>
      <c r="C36" s="86" t="str"/>
      <c r="D36" s="116">
        <f>持有情况!BF40-ROW()*1e-05</f>
      </c>
      <c r="E36" s="116">
        <v>1</v>
      </c>
      <c r="F36" s="117">
        <v>0</v>
      </c>
      <c r="G36" s="116">
        <v>3</v>
      </c>
      <c r="H36" s="116">
        <v>1</v>
      </c>
      <c r="I36" s="111" t="str">
        <v>白毛哭哭</v>
      </c>
      <c r="J36" s="116">
        <f>IF(路线!C6="计算",INT(45+10*路线!B31+4*路线!B20+30+20)-ROW()*1e-05,INT(45+10*路线!B31+4*路线!B20+30)-ROW()*1e-05)</f>
      </c>
      <c r="K36" s="1" t="str"/>
      <c r="L36" s="111">
        <f>IF(AND(OR(E36=1,E36=0),G36=1),D36,"")</f>
      </c>
      <c r="M36" s="111">
        <f>IF(AND(OR(E36=2,E36=0),G36=1),D36,"")</f>
      </c>
      <c r="N36" s="111">
        <f>IF(AND(OR(E36=3,E36=0),G36=1),D36,"")</f>
      </c>
      <c r="O36" s="111">
        <f>IF(AND(OR(E36=1,E36=0),G36=2),D36,"")</f>
      </c>
      <c r="P36" s="111">
        <f>IF(AND(OR(E36=2,E36=0),G36=2),D36,"")</f>
      </c>
      <c r="Q36" s="111">
        <f>IF(AND(OR(E36=3,E36=0),G36=2),D36,"")</f>
      </c>
      <c r="R36" s="111">
        <f>IF(AND(OR(E36=1,E36=0),G36=3),D36,"")</f>
      </c>
      <c r="S36" s="111">
        <f>IF(AND(OR(E36=2,E36=0),G36=3),D36,"")</f>
      </c>
      <c r="T36" s="111">
        <f>IF(AND(OR(E36=3,E36=0),G36=3),D36,"")</f>
      </c>
      <c r="U36" s="1" t="str"/>
      <c r="V36" s="1" t="str"/>
      <c r="W36" s="1" t="str"/>
      <c r="X36" s="1" t="str"/>
      <c r="Y36" s="1" t="str"/>
      <c r="Z36" s="1" t="str"/>
      <c r="AA36" s="1" t="str"/>
      <c r="AB36" s="1" t="str"/>
      <c r="AC36" s="1" t="str"/>
      <c r="AD36" s="111">
        <f>IF(AND(OR(E36=1,E36=0),G36=1),J36,"")</f>
      </c>
      <c r="AE36" s="111">
        <f>IF(AND(OR(E36=1,E36=0),G36=2),J36,"")</f>
      </c>
      <c r="AF36" s="111">
        <f>IF(AND(OR(E36=1,E36=0),G36=3),J36,"")</f>
      </c>
      <c r="AG36" s="1" t="str"/>
      <c r="AH36" s="1" t="str"/>
      <c r="AI36" s="1" t="str"/>
      <c r="AJ36" s="111">
        <f>IF(AND(OR(E36=2,E36=0),G36=1),J36,"")</f>
      </c>
      <c r="AK36" s="111">
        <f>IF(AND(OR(E36=2,E36=0),G36=2),J36,"")</f>
      </c>
      <c r="AL36" s="111">
        <f>IF(AND(OR(E36=2,E36=0),G36=3),J36,"")</f>
      </c>
      <c r="AM36" s="1" t="str"/>
      <c r="AN36" s="1" t="str"/>
      <c r="AO36" s="1" t="str"/>
      <c r="AP36" s="111">
        <f>IF(AND(OR(E36=3,E36=0),G36=1),J36,"")</f>
      </c>
      <c r="AQ36" s="111">
        <f>IF(AND(OR(E36=3,E36=0),G36=2),J36,"")</f>
      </c>
      <c r="AR36" s="111">
        <f>IF(AND(OR(E36=3,E36=0),G36=3),J36,"")</f>
      </c>
    </row>
    <row customHeight="true" ht="19" r="37">
      <c r="A37" s="75" t="str">
        <v>イヤホンはんぶんこ</v>
      </c>
      <c r="B37" s="75" t="str"/>
      <c r="C37" s="75" t="str"/>
      <c r="D37" s="116">
        <f>持有情况!AL34-ROW()*1e-05</f>
      </c>
      <c r="E37" s="116">
        <v>2</v>
      </c>
      <c r="F37" s="117">
        <v>0</v>
      </c>
      <c r="G37" s="116">
        <v>1</v>
      </c>
      <c r="H37" s="116">
        <v>1</v>
      </c>
      <c r="I37" s="1" t="str"/>
      <c r="J37" s="116">
        <f>IF(路线!C6="计算",INT(45+10*路线!B31+17*路线!B32+30+20)-ROW()*1e-05,INT(45+10*路线!B31+17*路线!B32+30)-ROW()*1e-05)</f>
      </c>
      <c r="K37" s="1" t="str"/>
      <c r="L37" s="111">
        <f>IF(AND(OR(E37=1,E37=0),G37=1),D37,"")</f>
      </c>
      <c r="M37" s="111">
        <f>IF(AND(OR(E37=2,E37=0),G37=1),D37,"")</f>
      </c>
      <c r="N37" s="111">
        <f>IF(AND(OR(E37=3,E37=0),G37=1),D37,"")</f>
      </c>
      <c r="O37" s="111">
        <f>IF(AND(OR(E37=1,E37=0),G37=2),D37,"")</f>
      </c>
      <c r="P37" s="111">
        <f>IF(AND(OR(E37=2,E37=0),G37=2),D37,"")</f>
      </c>
      <c r="Q37" s="111">
        <f>IF(AND(OR(E37=3,E37=0),G37=2),D37,"")</f>
      </c>
      <c r="R37" s="111">
        <f>IF(AND(OR(E37=1,E37=0),G37=3),D37,"")</f>
      </c>
      <c r="S37" s="111">
        <f>IF(AND(OR(E37=2,E37=0),G37=3),D37,"")</f>
      </c>
      <c r="T37" s="111">
        <f>IF(AND(OR(E37=3,E37=0),G37=3),D37,"")</f>
      </c>
      <c r="U37" s="1" t="str"/>
      <c r="V37" s="1" t="str"/>
      <c r="W37" s="1" t="str"/>
      <c r="X37" s="1" t="str"/>
      <c r="Y37" s="1" t="str"/>
      <c r="Z37" s="1" t="str"/>
      <c r="AA37" s="1" t="str"/>
      <c r="AB37" s="1" t="str"/>
      <c r="AC37" s="1" t="str"/>
      <c r="AD37" s="111">
        <f>IF(AND(OR(E37=1,E37=0),G37=1),J37,"")</f>
      </c>
      <c r="AE37" s="111">
        <f>IF(AND(OR(E37=1,E37=0),G37=2),J37,"")</f>
      </c>
      <c r="AF37" s="111">
        <f>IF(AND(OR(E37=1,E37=0),G37=3),J37,"")</f>
      </c>
      <c r="AG37" s="1" t="str"/>
      <c r="AH37" s="1" t="str"/>
      <c r="AI37" s="1" t="str"/>
      <c r="AJ37" s="111">
        <f>IF(AND(OR(E37=2,E37=0),G37=1),J37,"")</f>
      </c>
      <c r="AK37" s="111">
        <f>IF(AND(OR(E37=2,E37=0),G37=2),J37,"")</f>
      </c>
      <c r="AL37" s="111">
        <f>IF(AND(OR(E37=2,E37=0),G37=3),J37,"")</f>
      </c>
      <c r="AM37" s="1" t="str"/>
      <c r="AN37" s="1" t="str"/>
      <c r="AO37" s="1" t="str"/>
      <c r="AP37" s="111">
        <f>IF(AND(OR(E37=3,E37=0),G37=1),J37,"")</f>
      </c>
      <c r="AQ37" s="111">
        <f>IF(AND(OR(E37=3,E37=0),G37=2),J37,"")</f>
      </c>
      <c r="AR37" s="111">
        <f>IF(AND(OR(E37=3,E37=0),G37=3),J37,"")</f>
      </c>
    </row>
    <row customHeight="true" ht="19" r="38">
      <c r="A38" s="86" t="str">
        <v>まだまだのばしてー（黄老师）</v>
      </c>
      <c r="B38" s="86" t="str"/>
      <c r="C38" s="86" t="str"/>
      <c r="D38" s="116">
        <f>持有情况!BF64-ROW()*1e-05</f>
      </c>
      <c r="E38" s="117">
        <v>0</v>
      </c>
      <c r="F38" s="116">
        <v>1</v>
      </c>
      <c r="G38" s="116">
        <v>3</v>
      </c>
      <c r="H38" s="117">
        <v>0</v>
      </c>
      <c r="I38" s="1" t="str"/>
      <c r="J38" s="116">
        <f>INT(45+10*路线!B31+30)-ROW()*1e-05</f>
      </c>
      <c r="K38" s="1" t="str"/>
      <c r="L38" s="111">
        <f>IF(AND(OR(E38=1,E38=0),G38=1),D38,"")</f>
      </c>
      <c r="M38" s="111">
        <f>IF(AND(OR(E38=2,E38=0),G38=1),D38,"")</f>
      </c>
      <c r="N38" s="111">
        <f>IF(AND(OR(E38=3,E38=0),G38=1),D38,"")</f>
      </c>
      <c r="O38" s="111">
        <f>IF(AND(OR(E38=1,E38=0),G38=2),D38,"")</f>
      </c>
      <c r="P38" s="111">
        <f>IF(AND(OR(E38=2,E38=0),G38=2),D38,"")</f>
      </c>
      <c r="Q38" s="111">
        <f>IF(AND(OR(E38=3,E38=0),G38=2),D38,"")</f>
      </c>
      <c r="R38" s="111">
        <f>IF(AND(OR(E38=1,E38=0),G38=3),D38,"")</f>
      </c>
      <c r="S38" s="111">
        <f>IF(AND(OR(E38=2,E38=0),G38=3),D38,"")</f>
      </c>
      <c r="T38" s="111">
        <f>IF(AND(OR(E38=3,E38=0),G38=3),D38,"")</f>
      </c>
      <c r="U38" s="1" t="str"/>
      <c r="V38" s="1" t="str"/>
      <c r="W38" s="1" t="str"/>
      <c r="X38" s="1" t="str"/>
      <c r="Y38" s="1" t="str"/>
      <c r="Z38" s="1" t="str"/>
      <c r="AA38" s="1" t="str"/>
      <c r="AB38" s="1" t="str"/>
      <c r="AC38" s="1" t="str"/>
      <c r="AD38" s="111">
        <f>IF(AND(OR(E38=1,E38=0),G38=1),J38,"")</f>
      </c>
      <c r="AE38" s="111">
        <f>IF(AND(OR(E38=1,E38=0),G38=2),J38,"")</f>
      </c>
      <c r="AF38" s="111">
        <f>IF(AND(OR(E38=1,E38=0),G38=3),J38,"")</f>
      </c>
      <c r="AG38" s="1" t="str"/>
      <c r="AH38" s="1" t="str"/>
      <c r="AI38" s="1" t="str"/>
      <c r="AJ38" s="111">
        <f>IF(AND(OR(E38=2,E38=0),G38=1),J38,"")</f>
      </c>
      <c r="AK38" s="111">
        <f>IF(AND(OR(E38=2,E38=0),G38=2),J38,"")</f>
      </c>
      <c r="AL38" s="111">
        <f>IF(AND(OR(E38=2,E38=0),G38=3),J38,"")</f>
      </c>
      <c r="AM38" s="1" t="str"/>
      <c r="AN38" s="1" t="str"/>
      <c r="AO38" s="1" t="str"/>
      <c r="AP38" s="111">
        <f>IF(AND(OR(E38=3,E38=0),G38=1),J38,"")</f>
      </c>
      <c r="AQ38" s="111">
        <f>IF(AND(OR(E38=3,E38=0),G38=2),J38,"")</f>
      </c>
      <c r="AR38" s="111">
        <f>IF(AND(OR(E38=3,E38=0),G38=3),J38,"")</f>
      </c>
    </row>
    <row customHeight="true" ht="19" r="39">
      <c r="A39" s="99" t="str">
        <v>ひとりで立てますか？（溜冰）</v>
      </c>
      <c r="B39" s="99" t="str"/>
      <c r="C39" s="99" t="str"/>
      <c r="D39" s="116">
        <f>持有情况!R100-ROW()*1e-05</f>
      </c>
      <c r="E39" s="117">
        <v>0</v>
      </c>
      <c r="F39" s="116">
        <v>1</v>
      </c>
      <c r="G39" s="116">
        <v>2</v>
      </c>
      <c r="H39" s="116">
        <v>1</v>
      </c>
      <c r="I39" s="111" t="str">
        <v>溜冰</v>
      </c>
      <c r="J39" s="116">
        <f>INT(60+17*路线!B21+3*路线!B24+40)-ROW()*1e-05</f>
      </c>
      <c r="K39" s="1" t="str"/>
      <c r="L39" s="111">
        <f>IF(AND(OR(E39=1,E39=0),G39=1),D39,"")</f>
      </c>
      <c r="M39" s="111">
        <f>IF(AND(OR(E39=2,E39=0),G39=1),D39,"")</f>
      </c>
      <c r="N39" s="111">
        <f>IF(AND(OR(E39=3,E39=0),G39=1),D39,"")</f>
      </c>
      <c r="O39" s="111">
        <f>IF(AND(OR(E39=1,E39=0),G39=2),D39,"")</f>
      </c>
      <c r="P39" s="111">
        <f>IF(AND(OR(E39=2,E39=0),G39=2),D39,"")</f>
      </c>
      <c r="Q39" s="111">
        <f>IF(AND(OR(E39=3,E39=0),G39=2),D39,"")</f>
      </c>
      <c r="R39" s="111">
        <f>IF(AND(OR(E39=1,E39=0),G39=3),D39,"")</f>
      </c>
      <c r="S39" s="111">
        <f>IF(AND(OR(E39=2,E39=0),G39=3),D39,"")</f>
      </c>
      <c r="T39" s="111">
        <f>IF(AND(OR(E39=3,E39=0),G39=3),D39,"")</f>
      </c>
      <c r="U39" s="1" t="str"/>
      <c r="V39" s="1" t="str"/>
      <c r="W39" s="1" t="str"/>
      <c r="X39" s="1" t="str"/>
      <c r="Y39" s="1" t="str"/>
      <c r="Z39" s="1" t="str"/>
      <c r="AA39" s="1" t="str"/>
      <c r="AB39" s="1" t="str"/>
      <c r="AC39" s="1" t="str"/>
      <c r="AD39" s="111">
        <f>IF(AND(OR(E39=1,E39=0),G39=1),J39,"")</f>
      </c>
      <c r="AE39" s="111">
        <f>IF(AND(OR(E39=1,E39=0),G39=2),J39,"")</f>
      </c>
      <c r="AF39" s="111">
        <f>IF(AND(OR(E39=1,E39=0),G39=3),J39,"")</f>
      </c>
      <c r="AG39" s="1" t="str"/>
      <c r="AH39" s="1" t="str"/>
      <c r="AI39" s="1" t="str"/>
      <c r="AJ39" s="111">
        <f>IF(AND(OR(E39=2,E39=0),G39=1),J39,"")</f>
      </c>
      <c r="AK39" s="111">
        <f>IF(AND(OR(E39=2,E39=0),G39=2),J39,"")</f>
      </c>
      <c r="AL39" s="111">
        <f>IF(AND(OR(E39=2,E39=0),G39=3),J39,"")</f>
      </c>
      <c r="AM39" s="1" t="str"/>
      <c r="AN39" s="1" t="str"/>
      <c r="AO39" s="1" t="str"/>
      <c r="AP39" s="111">
        <f>IF(AND(OR(E39=3,E39=0),G39=1),J39,"")</f>
      </c>
      <c r="AQ39" s="111">
        <f>IF(AND(OR(E39=3,E39=0),G39=2),J39,"")</f>
      </c>
      <c r="AR39" s="111">
        <f>IF(AND(OR(E39=3,E39=0),G39=3),J39,"")</f>
      </c>
    </row>
    <row customHeight="true" ht="19" r="40">
      <c r="A40" s="86" t="str">
        <v>まるで王子様みたいな（王子）</v>
      </c>
      <c r="B40" s="86" t="str"/>
      <c r="C40" s="86" t="str"/>
      <c r="D40" s="116">
        <f>持有情况!AB16-ROW()*1e-05</f>
      </c>
      <c r="E40" s="117">
        <v>0</v>
      </c>
      <c r="F40" s="116">
        <v>1</v>
      </c>
      <c r="G40" s="116">
        <v>3</v>
      </c>
      <c r="H40" s="116">
        <v>1</v>
      </c>
      <c r="I40" s="111" t="str">
        <v>王子</v>
      </c>
      <c r="J40" s="116">
        <f>INT(60+17*路线!B21+3*路线!B24+40)-ROW()*1e-05</f>
      </c>
      <c r="K40" s="1" t="str"/>
      <c r="L40" s="111">
        <f>IF(AND(OR(E40=1,E40=0),G40=1),D40,"")</f>
      </c>
      <c r="M40" s="111">
        <f>IF(AND(OR(E40=2,E40=0),G40=1),D40,"")</f>
      </c>
      <c r="N40" s="111">
        <f>IF(AND(OR(E40=3,E40=0),G40=1),D40,"")</f>
      </c>
      <c r="O40" s="111">
        <f>IF(AND(OR(E40=1,E40=0),G40=2),D40,"")</f>
      </c>
      <c r="P40" s="111">
        <f>IF(AND(OR(E40=2,E40=0),G40=2),D40,"")</f>
      </c>
      <c r="Q40" s="111">
        <f>IF(AND(OR(E40=3,E40=0),G40=2),D40,"")</f>
      </c>
      <c r="R40" s="111">
        <f>IF(AND(OR(E40=1,E40=0),G40=3),D40,"")</f>
      </c>
      <c r="S40" s="111">
        <f>IF(AND(OR(E40=2,E40=0),G40=3),D40,"")</f>
      </c>
      <c r="T40" s="111">
        <f>IF(AND(OR(E40=3,E40=0),G40=3),D40,"")</f>
      </c>
      <c r="U40" s="1" t="str"/>
      <c r="V40" s="1" t="str"/>
      <c r="W40" s="1" t="str"/>
      <c r="X40" s="1" t="str"/>
      <c r="Y40" s="1" t="str"/>
      <c r="Z40" s="1" t="str"/>
      <c r="AA40" s="1" t="str"/>
      <c r="AB40" s="1" t="str"/>
      <c r="AC40" s="1" t="str"/>
      <c r="AD40" s="111">
        <f>IF(AND(OR(E40=1,E40=0),G40=1),J40,"")</f>
      </c>
      <c r="AE40" s="111">
        <f>IF(AND(OR(E40=1,E40=0),G40=2),J40,"")</f>
      </c>
      <c r="AF40" s="111">
        <f>IF(AND(OR(E40=1,E40=0),G40=3),J40,"")</f>
      </c>
      <c r="AG40" s="1" t="str"/>
      <c r="AH40" s="1" t="str"/>
      <c r="AI40" s="1" t="str"/>
      <c r="AJ40" s="111">
        <f>IF(AND(OR(E40=2,E40=0),G40=1),J40,"")</f>
      </c>
      <c r="AK40" s="111">
        <f>IF(AND(OR(E40=2,E40=0),G40=2),J40,"")</f>
      </c>
      <c r="AL40" s="111">
        <f>IF(AND(OR(E40=2,E40=0),G40=3),J40,"")</f>
      </c>
      <c r="AM40" s="1" t="str"/>
      <c r="AN40" s="1" t="str"/>
      <c r="AO40" s="1" t="str"/>
      <c r="AP40" s="111">
        <f>IF(AND(OR(E40=3,E40=0),G40=1),J40,"")</f>
      </c>
      <c r="AQ40" s="111">
        <f>IF(AND(OR(E40=3,E40=0),G40=2),J40,"")</f>
      </c>
      <c r="AR40" s="111">
        <f>IF(AND(OR(E40=3,E40=0),G40=3),J40,"")</f>
      </c>
    </row>
    <row customHeight="true" ht="19" r="41">
      <c r="A41" s="86" t="str">
        <v>「ア」じゃなくて「エ」！（黄补课）</v>
      </c>
      <c r="B41" s="86" t="str"/>
      <c r="C41" s="86" t="str"/>
      <c r="D41" s="116">
        <f>持有情况!AB46-ROW()*1e-05</f>
      </c>
      <c r="E41" s="116">
        <v>2</v>
      </c>
      <c r="F41" s="116">
        <v>1</v>
      </c>
      <c r="G41" s="116">
        <v>3</v>
      </c>
      <c r="H41" s="116">
        <v>1</v>
      </c>
      <c r="I41" s="111" t="str">
        <v>黄补课</v>
      </c>
      <c r="J41" s="116">
        <f>IF(路线!C6="计算",INT(60+6*路线!B20+3*路线!B24+40+20)-ROW()*1e-05,INT(60+6*路线!B20+3*路线!B24+40)-ROW()*1e-05)</f>
      </c>
      <c r="K41" s="1" t="str"/>
      <c r="L41" s="111">
        <f>IF(AND(OR(E41=1,E41=0),G41=1),D41,"")</f>
      </c>
      <c r="M41" s="111">
        <f>IF(AND(OR(E41=2,E41=0),G41=1),D41,"")</f>
      </c>
      <c r="N41" s="111">
        <f>IF(AND(OR(E41=3,E41=0),G41=1),D41,"")</f>
      </c>
      <c r="O41" s="111">
        <f>IF(AND(OR(E41=1,E41=0),G41=2),D41,"")</f>
      </c>
      <c r="P41" s="111">
        <f>IF(AND(OR(E41=2,E41=0),G41=2),D41,"")</f>
      </c>
      <c r="Q41" s="111">
        <f>IF(AND(OR(E41=3,E41=0),G41=2),D41,"")</f>
      </c>
      <c r="R41" s="111">
        <f>IF(AND(OR(E41=1,E41=0),G41=3),D41,"")</f>
      </c>
      <c r="S41" s="111">
        <f>IF(AND(OR(E41=2,E41=0),G41=3),D41,"")</f>
      </c>
      <c r="T41" s="111">
        <f>IF(AND(OR(E41=3,E41=0),G41=3),D41,"")</f>
      </c>
      <c r="U41" s="1" t="str"/>
      <c r="V41" s="1" t="str"/>
      <c r="W41" s="1" t="str"/>
      <c r="X41" s="1" t="str"/>
      <c r="Y41" s="1" t="str"/>
      <c r="Z41" s="1" t="str"/>
      <c r="AA41" s="1" t="str"/>
      <c r="AB41" s="1" t="str"/>
      <c r="AC41" s="1" t="str"/>
      <c r="AD41" s="111">
        <f>IF(AND(OR(E41=1,E41=0),G41=1),J41,"")</f>
      </c>
      <c r="AE41" s="111">
        <f>IF(AND(OR(E41=1,E41=0),G41=2),J41,"")</f>
      </c>
      <c r="AF41" s="111">
        <f>IF(AND(OR(E41=1,E41=0),G41=3),J41,"")</f>
      </c>
      <c r="AG41" s="1" t="str"/>
      <c r="AH41" s="1" t="str"/>
      <c r="AI41" s="1" t="str"/>
      <c r="AJ41" s="111">
        <f>IF(AND(OR(E41=2,E41=0),G41=1),J41,"")</f>
      </c>
      <c r="AK41" s="111">
        <f>IF(AND(OR(E41=2,E41=0),G41=2),J41,"")</f>
      </c>
      <c r="AL41" s="111">
        <f>IF(AND(OR(E41=2,E41=0),G41=3),J41,"")</f>
      </c>
      <c r="AM41" s="1" t="str"/>
      <c r="AN41" s="1" t="str"/>
      <c r="AO41" s="1" t="str"/>
      <c r="AP41" s="111">
        <f>IF(AND(OR(E41=3,E41=0),G41=1),J41,"")</f>
      </c>
      <c r="AQ41" s="111">
        <f>IF(AND(OR(E41=3,E41=0),G41=2),J41,"")</f>
      </c>
      <c r="AR41" s="111">
        <f>IF(AND(OR(E41=3,E41=0),G41=3),J41,"")</f>
      </c>
    </row>
    <row customHeight="true" ht="19" r="42">
      <c r="A42" s="99" t="str">
        <v>もうっ！　冷たいよ！（蓝喷水）</v>
      </c>
      <c r="B42" s="99" t="str"/>
      <c r="C42" s="99" t="str"/>
      <c r="D42" s="116">
        <f>持有情况!R40-ROW()*1e-05</f>
      </c>
      <c r="E42" s="116">
        <v>2</v>
      </c>
      <c r="F42" s="116">
        <v>1</v>
      </c>
      <c r="G42" s="116">
        <v>2</v>
      </c>
      <c r="H42" s="116">
        <v>1</v>
      </c>
      <c r="I42" s="111" t="str">
        <v>蓝喷水</v>
      </c>
      <c r="J42" s="116">
        <f>INT(60+17*路线!B21+22+40)-ROW()*1e-05</f>
      </c>
      <c r="K42" s="1" t="str"/>
      <c r="L42" s="111">
        <f>IF(AND(OR(E42=1,E42=0),G42=1),D42,"")</f>
      </c>
      <c r="M42" s="111">
        <f>IF(AND(OR(E42=2,E42=0),G42=1),D42,"")</f>
      </c>
      <c r="N42" s="111">
        <f>IF(AND(OR(E42=3,E42=0),G42=1),D42,"")</f>
      </c>
      <c r="O42" s="111">
        <f>IF(AND(OR(E42=1,E42=0),G42=2),D42,"")</f>
      </c>
      <c r="P42" s="111">
        <f>IF(AND(OR(E42=2,E42=0),G42=2),D42,"")</f>
      </c>
      <c r="Q42" s="111">
        <f>IF(AND(OR(E42=3,E42=0),G42=2),D42,"")</f>
      </c>
      <c r="R42" s="111">
        <f>IF(AND(OR(E42=1,E42=0),G42=3),D42,"")</f>
      </c>
      <c r="S42" s="111">
        <f>IF(AND(OR(E42=2,E42=0),G42=3),D42,"")</f>
      </c>
      <c r="T42" s="111">
        <f>IF(AND(OR(E42=3,E42=0),G42=3),D42,"")</f>
      </c>
      <c r="U42" s="1" t="str"/>
      <c r="V42" s="1" t="str"/>
      <c r="W42" s="1" t="str"/>
      <c r="X42" s="1" t="str"/>
      <c r="Y42" s="1" t="str"/>
      <c r="Z42" s="1" t="str"/>
      <c r="AA42" s="1" t="str"/>
      <c r="AB42" s="1" t="str"/>
      <c r="AC42" s="1" t="str"/>
      <c r="AD42" s="111">
        <f>IF(AND(OR(E42=1,E42=0),G42=1),J42,"")</f>
      </c>
      <c r="AE42" s="111">
        <f>IF(AND(OR(E42=1,E42=0),G42=2),J42,"")</f>
      </c>
      <c r="AF42" s="111">
        <f>IF(AND(OR(E42=1,E42=0),G42=3),J42,"")</f>
      </c>
      <c r="AG42" s="1" t="str"/>
      <c r="AH42" s="1" t="str"/>
      <c r="AI42" s="1" t="str"/>
      <c r="AJ42" s="111">
        <f>IF(AND(OR(E42=2,E42=0),G42=1),J42,"")</f>
      </c>
      <c r="AK42" s="111">
        <f>IF(AND(OR(E42=2,E42=0),G42=2),J42,"")</f>
      </c>
      <c r="AL42" s="111">
        <f>IF(AND(OR(E42=2,E42=0),G42=3),J42,"")</f>
      </c>
      <c r="AM42" s="1" t="str"/>
      <c r="AN42" s="1" t="str"/>
      <c r="AO42" s="1" t="str"/>
      <c r="AP42" s="111">
        <f>IF(AND(OR(E42=3,E42=0),G42=1),J42,"")</f>
      </c>
      <c r="AQ42" s="111">
        <f>IF(AND(OR(E42=3,E42=0),G42=2),J42,"")</f>
      </c>
      <c r="AR42" s="111">
        <f>IF(AND(OR(E42=3,E42=0),G42=3),J42,"")</f>
      </c>
    </row>
    <row customHeight="true" ht="19" r="43">
      <c r="A43" s="99" t="str">
        <v>おいしい顔、いただき～！（蓝拍照）</v>
      </c>
      <c r="B43" s="99" t="str"/>
      <c r="C43" s="99" t="str"/>
      <c r="D43" s="116">
        <f>持有情况!R22-ROW()*1e-05</f>
      </c>
      <c r="E43" s="117">
        <v>0</v>
      </c>
      <c r="F43" s="116">
        <v>1</v>
      </c>
      <c r="G43" s="116">
        <v>2</v>
      </c>
      <c r="H43" s="116">
        <v>1</v>
      </c>
      <c r="I43" s="111" t="str">
        <v>蓝拍照</v>
      </c>
      <c r="J43" s="116">
        <f>IF(路线!C6="计算",INT(60+17*路线!B21+4*(路线!B28+路线!B29)+40+20)-ROW()*1e-05,INT(60+17*路线!B21+4*(路线!B28+路线!B29)+40)-ROW()*1e-05)</f>
      </c>
      <c r="K43" s="1" t="str"/>
      <c r="L43" s="111">
        <f>IF(AND(OR(E43=1,E43=0),G43=1),D43,"")</f>
      </c>
      <c r="M43" s="111">
        <f>IF(AND(OR(E43=2,E43=0),G43=1),D43,"")</f>
      </c>
      <c r="N43" s="111">
        <f>IF(AND(OR(E43=3,E43=0),G43=1),D43,"")</f>
      </c>
      <c r="O43" s="111">
        <f>IF(AND(OR(E43=1,E43=0),G43=2),D43,"")</f>
      </c>
      <c r="P43" s="111">
        <f>IF(AND(OR(E43=2,E43=0),G43=2),D43,"")</f>
      </c>
      <c r="Q43" s="111">
        <f>IF(AND(OR(E43=3,E43=0),G43=2),D43,"")</f>
      </c>
      <c r="R43" s="111">
        <f>IF(AND(OR(E43=1,E43=0),G43=3),D43,"")</f>
      </c>
      <c r="S43" s="111">
        <f>IF(AND(OR(E43=2,E43=0),G43=3),D43,"")</f>
      </c>
      <c r="T43" s="111">
        <f>IF(AND(OR(E43=3,E43=0),G43=3),D43,"")</f>
      </c>
      <c r="U43" s="1" t="str"/>
      <c r="V43" s="1" t="str"/>
      <c r="W43" s="1" t="str"/>
      <c r="X43" s="1" t="str"/>
      <c r="Y43" s="1" t="str"/>
      <c r="Z43" s="1" t="str"/>
      <c r="AA43" s="1" t="str"/>
      <c r="AB43" s="1" t="str"/>
      <c r="AC43" s="1" t="str"/>
      <c r="AD43" s="111">
        <f>IF(AND(OR(E43=1,E43=0),G43=1),J43,"")</f>
      </c>
      <c r="AE43" s="111">
        <f>IF(AND(OR(E43=1,E43=0),G43=2),J43,"")</f>
      </c>
      <c r="AF43" s="111">
        <f>IF(AND(OR(E43=1,E43=0),G43=3),J43,"")</f>
      </c>
      <c r="AG43" s="1" t="str"/>
      <c r="AH43" s="1" t="str"/>
      <c r="AI43" s="1" t="str"/>
      <c r="AJ43" s="111">
        <f>IF(AND(OR(E43=2,E43=0),G43=1),J43,"")</f>
      </c>
      <c r="AK43" s="111">
        <f>IF(AND(OR(E43=2,E43=0),G43=2),J43,"")</f>
      </c>
      <c r="AL43" s="111">
        <f>IF(AND(OR(E43=2,E43=0),G43=3),J43,"")</f>
      </c>
      <c r="AM43" s="1" t="str"/>
      <c r="AN43" s="1" t="str"/>
      <c r="AO43" s="1" t="str"/>
      <c r="AP43" s="111">
        <f>IF(AND(OR(E43=3,E43=0),G43=1),J43,"")</f>
      </c>
      <c r="AQ43" s="111">
        <f>IF(AND(OR(E43=3,E43=0),G43=2),J43,"")</f>
      </c>
      <c r="AR43" s="111">
        <f>IF(AND(OR(E43=3,E43=0),G43=3),J43,"")</f>
      </c>
    </row>
    <row customHeight="true" ht="19" r="44">
      <c r="A44" s="75" t="str">
        <v>何やってるんだろう、（红再动）</v>
      </c>
      <c r="B44" s="75" t="str"/>
      <c r="C44" s="75" t="str"/>
      <c r="D44" s="116">
        <f>持有情况!H34-ROW()*1e-05</f>
      </c>
      <c r="E44" s="117">
        <v>0</v>
      </c>
      <c r="F44" s="116">
        <v>1</v>
      </c>
      <c r="G44" s="116">
        <v>1</v>
      </c>
      <c r="H44" s="116">
        <v>1</v>
      </c>
      <c r="I44" s="111" t="str">
        <v>红再动</v>
      </c>
      <c r="J44" s="116">
        <f>INT(60+6*路线!B20+4*(路线!B28+路线!B29)+40)-ROW()*1e-05</f>
      </c>
      <c r="K44" s="1" t="str"/>
      <c r="L44" s="111">
        <f>IF(AND(OR(E44=1,E44=0),G44=1),D44,"")</f>
      </c>
      <c r="M44" s="111">
        <f>IF(AND(OR(E44=2,E44=0),G44=1),D44,"")</f>
      </c>
      <c r="N44" s="111">
        <f>IF(AND(OR(E44=3,E44=0),G44=1),D44,"")</f>
      </c>
      <c r="O44" s="111">
        <f>IF(AND(OR(E44=1,E44=0),G44=2),D44,"")</f>
      </c>
      <c r="P44" s="111">
        <f>IF(AND(OR(E44=2,E44=0),G44=2),D44,"")</f>
      </c>
      <c r="Q44" s="111">
        <f>IF(AND(OR(E44=3,E44=0),G44=2),D44,"")</f>
      </c>
      <c r="R44" s="111">
        <f>IF(AND(OR(E44=1,E44=0),G44=3),D44,"")</f>
      </c>
      <c r="S44" s="111">
        <f>IF(AND(OR(E44=2,E44=0),G44=3),D44,"")</f>
      </c>
      <c r="T44" s="111">
        <f>IF(AND(OR(E44=3,E44=0),G44=3),D44,"")</f>
      </c>
      <c r="U44" s="1" t="str"/>
      <c r="V44" s="1" t="str"/>
      <c r="W44" s="1" t="str"/>
      <c r="X44" s="1" t="str"/>
      <c r="Y44" s="1" t="str"/>
      <c r="Z44" s="1" t="str"/>
      <c r="AA44" s="1" t="str"/>
      <c r="AB44" s="1" t="str"/>
      <c r="AC44" s="1" t="str"/>
      <c r="AD44" s="111">
        <f>IF(AND(OR(E44=1,E44=0),G44=1),J44,"")</f>
      </c>
      <c r="AE44" s="111">
        <f>IF(AND(OR(E44=1,E44=0),G44=2),J44,"")</f>
      </c>
      <c r="AF44" s="111">
        <f>IF(AND(OR(E44=1,E44=0),G44=3),J44,"")</f>
      </c>
      <c r="AG44" s="1" t="str"/>
      <c r="AH44" s="1" t="str"/>
      <c r="AI44" s="1" t="str"/>
      <c r="AJ44" s="111">
        <f>IF(AND(OR(E44=2,E44=0),G44=1),J44,"")</f>
      </c>
      <c r="AK44" s="111">
        <f>IF(AND(OR(E44=2,E44=0),G44=2),J44,"")</f>
      </c>
      <c r="AL44" s="111">
        <f>IF(AND(OR(E44=2,E44=0),G44=3),J44,"")</f>
      </c>
      <c r="AM44" s="1" t="str"/>
      <c r="AN44" s="1" t="str"/>
      <c r="AO44" s="1" t="str"/>
      <c r="AP44" s="111">
        <f>IF(AND(OR(E44=3,E44=0),G44=1),J44,"")</f>
      </c>
      <c r="AQ44" s="111">
        <f>IF(AND(OR(E44=3,E44=0),G44=2),J44,"")</f>
      </c>
      <c r="AR44" s="111">
        <f>IF(AND(OR(E44=3,E44=0),G44=3),J44,"")</f>
      </c>
    </row>
    <row customHeight="true" ht="19" r="45">
      <c r="A45" s="75" t="str">
        <v>すっかり秋色ですわね！（秋色）</v>
      </c>
      <c r="B45" s="75" t="str"/>
      <c r="C45" s="75" t="str"/>
      <c r="D45" s="116">
        <f>持有情况!H70-ROW()*1e-05</f>
      </c>
      <c r="E45" s="116">
        <v>1</v>
      </c>
      <c r="F45" s="116">
        <v>1</v>
      </c>
      <c r="G45" s="116">
        <v>1</v>
      </c>
      <c r="H45" s="117">
        <v>0</v>
      </c>
      <c r="I45" s="1" t="str"/>
      <c r="J45" s="116">
        <f>INT(60+4*路线!B25+17*路线!B34+40)-ROW()*1e-05</f>
      </c>
      <c r="K45" s="1" t="str"/>
      <c r="L45" s="111">
        <f>IF(AND(OR(E45=1,E45=0),G45=1),D45,"")</f>
      </c>
      <c r="M45" s="111">
        <f>IF(AND(OR(E45=2,E45=0),G45=1),D45,"")</f>
      </c>
      <c r="N45" s="111">
        <f>IF(AND(OR(E45=3,E45=0),G45=1),D45,"")</f>
      </c>
      <c r="O45" s="111">
        <f>IF(AND(OR(E45=1,E45=0),G45=2),D45,"")</f>
      </c>
      <c r="P45" s="111">
        <f>IF(AND(OR(E45=2,E45=0),G45=2),D45,"")</f>
      </c>
      <c r="Q45" s="111">
        <f>IF(AND(OR(E45=3,E45=0),G45=2),D45,"")</f>
      </c>
      <c r="R45" s="111">
        <f>IF(AND(OR(E45=1,E45=0),G45=3),D45,"")</f>
      </c>
      <c r="S45" s="111">
        <f>IF(AND(OR(E45=2,E45=0),G45=3),D45,"")</f>
      </c>
      <c r="T45" s="111">
        <f>IF(AND(OR(E45=3,E45=0),G45=3),D45,"")</f>
      </c>
      <c r="U45" s="1" t="str"/>
      <c r="V45" s="1" t="str"/>
      <c r="W45" s="1" t="str"/>
      <c r="X45" s="1" t="str"/>
      <c r="Y45" s="1" t="str"/>
      <c r="Z45" s="1" t="str"/>
      <c r="AA45" s="1" t="str"/>
      <c r="AB45" s="1" t="str"/>
      <c r="AC45" s="1" t="str"/>
      <c r="AD45" s="111">
        <f>IF(AND(OR(E45=1,E45=0),G45=1),J45,"")</f>
      </c>
      <c r="AE45" s="111">
        <f>IF(AND(OR(E45=1,E45=0),G45=2),J45,"")</f>
      </c>
      <c r="AF45" s="111">
        <f>IF(AND(OR(E45=1,E45=0),G45=3),J45,"")</f>
      </c>
      <c r="AG45" s="1" t="str"/>
      <c r="AH45" s="1" t="str"/>
      <c r="AI45" s="1" t="str"/>
      <c r="AJ45" s="111">
        <f>IF(AND(OR(E45=2,E45=0),G45=1),J45,"")</f>
      </c>
      <c r="AK45" s="111">
        <f>IF(AND(OR(E45=2,E45=0),G45=2),J45,"")</f>
      </c>
      <c r="AL45" s="111">
        <f>IF(AND(OR(E45=2,E45=0),G45=3),J45,"")</f>
      </c>
      <c r="AM45" s="1" t="str"/>
      <c r="AN45" s="1" t="str"/>
      <c r="AO45" s="1" t="str"/>
      <c r="AP45" s="111">
        <f>IF(AND(OR(E45=3,E45=0),G45=1),J45,"")</f>
      </c>
      <c r="AQ45" s="111">
        <f>IF(AND(OR(E45=3,E45=0),G45=2),J45,"")</f>
      </c>
      <c r="AR45" s="111">
        <f>IF(AND(OR(E45=3,E45=0),G45=3),J45,"")</f>
      </c>
    </row>
    <row customHeight="true" ht="19" r="46">
      <c r="A46" s="86" t="str">
        <v>第2回教室パーティー！（一年一班）</v>
      </c>
      <c r="B46" s="86" t="str"/>
      <c r="C46" s="86" t="str"/>
      <c r="D46" s="116">
        <f>持有情况!AB40-ROW()*1e-05</f>
      </c>
      <c r="E46" s="117">
        <v>0</v>
      </c>
      <c r="F46" s="116">
        <v>1</v>
      </c>
      <c r="G46" s="116">
        <v>3</v>
      </c>
      <c r="H46" s="116">
        <v>1</v>
      </c>
      <c r="I46" s="111" t="str">
        <v>一年一班</v>
      </c>
      <c r="J46" s="116">
        <f>IF(路线!C6="计算",INT(60+4*路线!B20+17+40+20)-ROW()*1e-05,INT(60+4*路线!B20+17+40)-ROW()*1e-05)</f>
      </c>
      <c r="K46" s="1" t="str"/>
      <c r="L46" s="111">
        <f>IF(AND(OR(E46=1,E46=0),G46=1),D46,"")</f>
      </c>
      <c r="M46" s="111">
        <f>IF(AND(OR(E46=2,E46=0),G46=1),D46,"")</f>
      </c>
      <c r="N46" s="111">
        <f>IF(AND(OR(E46=3,E46=0),G46=1),D46,"")</f>
      </c>
      <c r="O46" s="111">
        <f>IF(AND(OR(E46=1,E46=0),G46=2),D46,"")</f>
      </c>
      <c r="P46" s="111">
        <f>IF(AND(OR(E46=2,E46=0),G46=2),D46,"")</f>
      </c>
      <c r="Q46" s="111">
        <f>IF(AND(OR(E46=3,E46=0),G46=2),D46,"")</f>
      </c>
      <c r="R46" s="111">
        <f>IF(AND(OR(E46=1,E46=0),G46=3),D46,"")</f>
      </c>
      <c r="S46" s="111">
        <f>IF(AND(OR(E46=2,E46=0),G46=3),D46,"")</f>
      </c>
      <c r="T46" s="111">
        <f>IF(AND(OR(E46=3,E46=0),G46=3),D46,"")</f>
      </c>
      <c r="U46" s="1" t="str"/>
      <c r="V46" s="1" t="str"/>
      <c r="W46" s="1" t="str"/>
      <c r="X46" s="1" t="str"/>
      <c r="Y46" s="1" t="str"/>
      <c r="Z46" s="1" t="str"/>
      <c r="AA46" s="1" t="str"/>
      <c r="AB46" s="1" t="str"/>
      <c r="AC46" s="1" t="str"/>
      <c r="AD46" s="111">
        <f>IF(AND(OR(E46=1,E46=0),G46=1),J46,"")</f>
      </c>
      <c r="AE46" s="111">
        <f>IF(AND(OR(E46=1,E46=0),G46=2),J46,"")</f>
      </c>
      <c r="AF46" s="111">
        <f>IF(AND(OR(E46=1,E46=0),G46=3),J46,"")</f>
      </c>
      <c r="AG46" s="1" t="str"/>
      <c r="AH46" s="1" t="str"/>
      <c r="AI46" s="1" t="str"/>
      <c r="AJ46" s="111">
        <f>IF(AND(OR(E46=2,E46=0),G46=1),J46,"")</f>
      </c>
      <c r="AK46" s="111">
        <f>IF(AND(OR(E46=2,E46=0),G46=2),J46,"")</f>
      </c>
      <c r="AL46" s="111">
        <f>IF(AND(OR(E46=2,E46=0),G46=3),J46,"")</f>
      </c>
      <c r="AM46" s="1" t="str"/>
      <c r="AN46" s="1" t="str"/>
      <c r="AO46" s="1" t="str"/>
      <c r="AP46" s="111">
        <f>IF(AND(OR(E46=3,E46=0),G46=1),J46,"")</f>
      </c>
      <c r="AQ46" s="111">
        <f>IF(AND(OR(E46=3,E46=0),G46=2),J46,"")</f>
      </c>
      <c r="AR46" s="111">
        <f>IF(AND(OR(E46=3,E46=0),G46=3),J46,"")</f>
      </c>
    </row>
    <row customHeight="true" ht="19" r="47">
      <c r="A47" s="99" t="str">
        <v>プロデュースって大変ね（大变卡）</v>
      </c>
      <c r="B47" s="99" t="str"/>
      <c r="C47" s="99" t="str"/>
      <c r="D47" s="116">
        <f>持有情况!R70-ROW()*1e-05</f>
      </c>
      <c r="E47" s="116">
        <v>3</v>
      </c>
      <c r="F47" s="116">
        <v>1</v>
      </c>
      <c r="G47" s="116">
        <v>2</v>
      </c>
      <c r="H47" s="116">
        <v>1</v>
      </c>
      <c r="I47" s="111" t="str">
        <v>大变卡</v>
      </c>
      <c r="J47" s="116">
        <f>INT(60+17+40)-ROW()*1e-05</f>
      </c>
      <c r="K47" s="1" t="str"/>
      <c r="L47" s="111">
        <f>IF(AND(OR(E47=1,E47=0),G47=1),D47,"")</f>
      </c>
      <c r="M47" s="111">
        <f>IF(AND(OR(E47=2,E47=0),G47=1),D47,"")</f>
      </c>
      <c r="N47" s="111">
        <f>IF(AND(OR(E47=3,E47=0),G47=1),D47,"")</f>
      </c>
      <c r="O47" s="111">
        <f>IF(AND(OR(E47=1,E47=0),G47=2),D47,"")</f>
      </c>
      <c r="P47" s="111">
        <f>IF(AND(OR(E47=2,E47=0),G47=2),D47,"")</f>
      </c>
      <c r="Q47" s="111">
        <f>IF(AND(OR(E47=3,E47=0),G47=2),D47,"")</f>
      </c>
      <c r="R47" s="111">
        <f>IF(AND(OR(E47=1,E47=0),G47=3),D47,"")</f>
      </c>
      <c r="S47" s="111">
        <f>IF(AND(OR(E47=2,E47=0),G47=3),D47,"")</f>
      </c>
      <c r="T47" s="111">
        <f>IF(AND(OR(E47=3,E47=0),G47=3),D47,"")</f>
      </c>
      <c r="U47" s="1" t="str"/>
      <c r="V47" s="1" t="str"/>
      <c r="W47" s="1" t="str"/>
      <c r="X47" s="1" t="str"/>
      <c r="Y47" s="1" t="str"/>
      <c r="Z47" s="1" t="str"/>
      <c r="AA47" s="1" t="str"/>
      <c r="AB47" s="1" t="str"/>
      <c r="AC47" s="1" t="str"/>
      <c r="AD47" s="111">
        <f>IF(AND(OR(E47=1,E47=0),G47=1),J47,"")</f>
      </c>
      <c r="AE47" s="111">
        <f>IF(AND(OR(E47=1,E47=0),G47=2),J47,"")</f>
      </c>
      <c r="AF47" s="111">
        <f>IF(AND(OR(E47=1,E47=0),G47=3),J47,"")</f>
      </c>
      <c r="AG47" s="1" t="str"/>
      <c r="AH47" s="1" t="str"/>
      <c r="AI47" s="1" t="str"/>
      <c r="AJ47" s="111">
        <f>IF(AND(OR(E47=2,E47=0),G47=1),J47,"")</f>
      </c>
      <c r="AK47" s="111">
        <f>IF(AND(OR(E47=2,E47=0),G47=2),J47,"")</f>
      </c>
      <c r="AL47" s="111">
        <f>IF(AND(OR(E47=2,E47=0),G47=3),J47,"")</f>
      </c>
      <c r="AM47" s="1" t="str"/>
      <c r="AN47" s="1" t="str"/>
      <c r="AO47" s="1" t="str"/>
      <c r="AP47" s="111">
        <f>IF(AND(OR(E47=3,E47=0),G47=1),J47,"")</f>
      </c>
      <c r="AQ47" s="111">
        <f>IF(AND(OR(E47=3,E47=0),G47=2),J47,"")</f>
      </c>
      <c r="AR47" s="111">
        <f>IF(AND(OR(E47=3,E47=0),G47=3),J47,"")</f>
      </c>
    </row>
    <row customHeight="true" ht="19" r="48">
      <c r="A48" s="75" t="str">
        <v>海、楽しまなきゃ！（sr红睡）</v>
      </c>
      <c r="B48" s="75" t="str"/>
      <c r="C48" s="75" t="str"/>
      <c r="D48" s="116">
        <f>IF(路线!B4="计算",持有情况!AM42,持有情况!AL40)-ROW()*1e-05</f>
      </c>
      <c r="E48" s="116">
        <v>2</v>
      </c>
      <c r="F48" s="117">
        <v>0</v>
      </c>
      <c r="G48" s="116">
        <v>1</v>
      </c>
      <c r="H48" s="117">
        <v>0</v>
      </c>
      <c r="I48" s="1" t="str"/>
      <c r="J48" s="116">
        <f>IF(路线!B4="计算",INT(45+17*路线!B32+30+持有情况!AM39),INT(45+17*路线!B32+30))-ROW()*1e-05</f>
      </c>
      <c r="K48" s="1" t="str"/>
      <c r="L48" s="111">
        <f>IF(AND(OR(E48=1,E48=0),G48=1),D48,"")</f>
      </c>
      <c r="M48" s="111">
        <f>IF(AND(OR(E48=2,E48=0),G48=1),D48,"")</f>
      </c>
      <c r="N48" s="111">
        <f>IF(AND(OR(E48=3,E48=0),G48=1),D48,"")</f>
      </c>
      <c r="O48" s="111">
        <f>IF(AND(OR(E48=1,E48=0),G48=2),D48,"")</f>
      </c>
      <c r="P48" s="111">
        <f>IF(AND(OR(E48=2,E48=0),G48=2),D48,"")</f>
      </c>
      <c r="Q48" s="111">
        <f>IF(AND(OR(E48=3,E48=0),G48=2),D48,"")</f>
      </c>
      <c r="R48" s="111">
        <f>IF(AND(OR(E48=1,E48=0),G48=3),D48,"")</f>
      </c>
      <c r="S48" s="111">
        <f>IF(AND(OR(E48=2,E48=0),G48=3),D48,"")</f>
      </c>
      <c r="T48" s="111">
        <f>IF(AND(OR(E48=3,E48=0),G48=3),D48,"")</f>
      </c>
      <c r="U48" s="1" t="str"/>
      <c r="V48" s="1" t="str"/>
      <c r="W48" s="1" t="str"/>
      <c r="X48" s="1" t="str"/>
      <c r="Y48" s="1" t="str"/>
      <c r="Z48" s="1" t="str"/>
      <c r="AA48" s="1" t="str"/>
      <c r="AB48" s="1" t="str"/>
      <c r="AC48" s="1" t="str"/>
      <c r="AD48" s="111">
        <f>IF(AND(OR(E48=1,E48=0),G48=1),J48,"")</f>
      </c>
      <c r="AE48" s="111">
        <f>IF(AND(OR(E48=1,E48=0),G48=2),J48,"")</f>
      </c>
      <c r="AF48" s="111">
        <f>IF(AND(OR(E48=1,E48=0),G48=3),J48,"")</f>
      </c>
      <c r="AG48" s="1" t="str"/>
      <c r="AH48" s="1" t="str"/>
      <c r="AI48" s="1" t="str"/>
      <c r="AJ48" s="111">
        <f>IF(AND(OR(E48=2,E48=0),G48=1),J48,"")</f>
      </c>
      <c r="AK48" s="111">
        <f>IF(AND(OR(E48=2,E48=0),G48=2),J48,"")</f>
      </c>
      <c r="AL48" s="111">
        <f>IF(AND(OR(E48=2,E48=0),G48=3),J48,"")</f>
      </c>
      <c r="AM48" s="1" t="str"/>
      <c r="AN48" s="1" t="str"/>
      <c r="AO48" s="1" t="str"/>
      <c r="AP48" s="111">
        <f>IF(AND(OR(E48=3,E48=0),G48=1),J48,"")</f>
      </c>
      <c r="AQ48" s="111">
        <f>IF(AND(OR(E48=3,E48=0),G48=2),J48,"")</f>
      </c>
      <c r="AR48" s="111">
        <f>IF(AND(OR(E48=3,E48=0),G48=3),J48,"")</f>
      </c>
    </row>
    <row customHeight="true" ht="19" r="49">
      <c r="A49" s="86" t="str">
        <v>仕事のつもりで臨みなさい（学生会）</v>
      </c>
      <c r="B49" s="86" t="str"/>
      <c r="C49" s="86" t="str"/>
      <c r="D49" s="116">
        <f>持有情况!AB4-ROW()*1e-05</f>
      </c>
      <c r="E49" s="117">
        <v>0</v>
      </c>
      <c r="F49" s="117">
        <v>0</v>
      </c>
      <c r="G49" s="116">
        <v>3</v>
      </c>
      <c r="H49" s="116">
        <v>1</v>
      </c>
      <c r="I49" s="111" t="str">
        <v>学生会</v>
      </c>
      <c r="J49" s="116">
        <f>IF(路线!C6="计算",INT(60+2*路线!B24+4*路线!B20+40+20)-ROW()*1e-05,INT(60+2*路线!B24+4*路线!B20+40)-ROW()*1e-05)</f>
      </c>
      <c r="K49" s="1" t="str"/>
      <c r="L49" s="111">
        <f>IF(AND(OR(E49=1,E49=0),G49=1),D49,"")</f>
      </c>
      <c r="M49" s="111">
        <f>IF(AND(OR(E49=2,E49=0),G49=1),D49,"")</f>
      </c>
      <c r="N49" s="111">
        <f>IF(AND(OR(E49=3,E49=0),G49=1),D49,"")</f>
      </c>
      <c r="O49" s="111">
        <f>IF(AND(OR(E49=1,E49=0),G49=2),D49,"")</f>
      </c>
      <c r="P49" s="111">
        <f>IF(AND(OR(E49=2,E49=0),G49=2),D49,"")</f>
      </c>
      <c r="Q49" s="111">
        <f>IF(AND(OR(E49=3,E49=0),G49=2),D49,"")</f>
      </c>
      <c r="R49" s="111">
        <f>IF(AND(OR(E49=1,E49=0),G49=3),D49,"")</f>
      </c>
      <c r="S49" s="111">
        <f>IF(AND(OR(E49=2,E49=0),G49=3),D49,"")</f>
      </c>
      <c r="T49" s="111">
        <f>IF(AND(OR(E49=3,E49=0),G49=3),D49,"")</f>
      </c>
      <c r="U49" s="1" t="str"/>
      <c r="V49" s="1" t="str"/>
      <c r="W49" s="1" t="str"/>
      <c r="X49" s="1" t="str"/>
      <c r="Y49" s="1" t="str"/>
      <c r="Z49" s="1" t="str"/>
      <c r="AA49" s="1" t="str"/>
      <c r="AB49" s="1" t="str"/>
      <c r="AC49" s="1" t="str"/>
      <c r="AD49" s="111">
        <f>IF(AND(OR(E49=1,E49=0),G49=1),J49,"")</f>
      </c>
      <c r="AE49" s="111">
        <f>IF(AND(OR(E49=1,E49=0),G49=2),J49,"")</f>
      </c>
      <c r="AF49" s="111">
        <f>IF(AND(OR(E49=1,E49=0),G49=3),J49,"")</f>
      </c>
      <c r="AG49" s="1" t="str"/>
      <c r="AH49" s="1" t="str"/>
      <c r="AI49" s="1" t="str"/>
      <c r="AJ49" s="111">
        <f>IF(AND(OR(E49=2,E49=0),G49=1),J49,"")</f>
      </c>
      <c r="AK49" s="111">
        <f>IF(AND(OR(E49=2,E49=0),G49=2),J49,"")</f>
      </c>
      <c r="AL49" s="111">
        <f>IF(AND(OR(E49=2,E49=0),G49=3),J49,"")</f>
      </c>
      <c r="AM49" s="1" t="str"/>
      <c r="AN49" s="1" t="str"/>
      <c r="AO49" s="1" t="str"/>
      <c r="AP49" s="111">
        <f>IF(AND(OR(E49=3,E49=0),G49=1),J49,"")</f>
      </c>
      <c r="AQ49" s="111">
        <f>IF(AND(OR(E49=3,E49=0),G49=2),J49,"")</f>
      </c>
      <c r="AR49" s="111">
        <f>IF(AND(OR(E49=3,E49=0),G49=3),J49,"")</f>
      </c>
    </row>
    <row customHeight="true" ht="19" r="50">
      <c r="A50" s="75" t="str">
        <v>可愛いと可愛いで可愛い！（三可爱）</v>
      </c>
      <c r="B50" s="75" t="str"/>
      <c r="C50" s="75" t="str"/>
      <c r="D50" s="116">
        <f>持有情况!H16-ROW()*1e-05</f>
      </c>
      <c r="E50" s="117">
        <v>0</v>
      </c>
      <c r="F50" s="116">
        <v>1</v>
      </c>
      <c r="G50" s="116">
        <v>1</v>
      </c>
      <c r="H50" s="116">
        <v>1</v>
      </c>
      <c r="I50" s="111" t="str">
        <v>三可爱</v>
      </c>
      <c r="J50" s="116">
        <f>IF(路线!C6="计算",INT(60+17*路线!B21+3*路线!B23+40+20)-ROW()*1e-05,INT(60+17*路线!B21+3*路线!B23+40)-ROW()*1e-05)</f>
      </c>
      <c r="K50" s="1" t="str"/>
      <c r="L50" s="111">
        <f>IF(AND(OR(E50=1,E50=0),G50=1),D50,"")</f>
      </c>
      <c r="M50" s="111">
        <f>IF(AND(OR(E50=2,E50=0),G50=1),D50,"")</f>
      </c>
      <c r="N50" s="111">
        <f>IF(AND(OR(E50=3,E50=0),G50=1),D50,"")</f>
      </c>
      <c r="O50" s="111">
        <f>IF(AND(OR(E50=1,E50=0),G50=2),D50,"")</f>
      </c>
      <c r="P50" s="111">
        <f>IF(AND(OR(E50=2,E50=0),G50=2),D50,"")</f>
      </c>
      <c r="Q50" s="111">
        <f>IF(AND(OR(E50=3,E50=0),G50=2),D50,"")</f>
      </c>
      <c r="R50" s="111">
        <f>IF(AND(OR(E50=1,E50=0),G50=3),D50,"")</f>
      </c>
      <c r="S50" s="111">
        <f>IF(AND(OR(E50=2,E50=0),G50=3),D50,"")</f>
      </c>
      <c r="T50" s="111">
        <f>IF(AND(OR(E50=3,E50=0),G50=3),D50,"")</f>
      </c>
      <c r="U50" s="1" t="str"/>
      <c r="V50" s="1" t="str"/>
      <c r="W50" s="1" t="str"/>
      <c r="X50" s="1" t="str"/>
      <c r="Y50" s="1" t="str"/>
      <c r="Z50" s="1" t="str"/>
      <c r="AA50" s="1" t="str"/>
      <c r="AB50" s="1" t="str"/>
      <c r="AC50" s="1" t="str"/>
      <c r="AD50" s="111">
        <f>IF(AND(OR(E50=1,E50=0),G50=1),J50,"")</f>
      </c>
      <c r="AE50" s="111">
        <f>IF(AND(OR(E50=1,E50=0),G50=2),J50,"")</f>
      </c>
      <c r="AF50" s="111">
        <f>IF(AND(OR(E50=1,E50=0),G50=3),J50,"")</f>
      </c>
      <c r="AG50" s="1" t="str"/>
      <c r="AH50" s="1" t="str"/>
      <c r="AI50" s="1" t="str"/>
      <c r="AJ50" s="111">
        <f>IF(AND(OR(E50=2,E50=0),G50=1),J50,"")</f>
      </c>
      <c r="AK50" s="111">
        <f>IF(AND(OR(E50=2,E50=0),G50=2),J50,"")</f>
      </c>
      <c r="AL50" s="111">
        <f>IF(AND(OR(E50=2,E50=0),G50=3),J50,"")</f>
      </c>
      <c r="AM50" s="1" t="str"/>
      <c r="AN50" s="1" t="str"/>
      <c r="AO50" s="1" t="str"/>
      <c r="AP50" s="111">
        <f>IF(AND(OR(E50=3,E50=0),G50=1),J50,"")</f>
      </c>
      <c r="AQ50" s="111">
        <f>IF(AND(OR(E50=3,E50=0),G50=2),J50,"")</f>
      </c>
      <c r="AR50" s="111">
        <f>IF(AND(OR(E50=3,E50=0),G50=3),J50,"")</f>
      </c>
    </row>
    <row customHeight="true" ht="19" r="51">
      <c r="A51" s="99" t="str">
        <v>あっちも行きたいですわ！（大饮料）</v>
      </c>
      <c r="B51" s="99" t="str"/>
      <c r="C51" s="99" t="str"/>
      <c r="D51" s="116">
        <f>持有情况!R52-ROW()*1e-05</f>
      </c>
      <c r="E51" s="116">
        <v>1</v>
      </c>
      <c r="F51" s="116">
        <v>1</v>
      </c>
      <c r="G51" s="116">
        <v>2</v>
      </c>
      <c r="H51" s="117">
        <v>0</v>
      </c>
      <c r="I51" s="1" t="str"/>
      <c r="J51" s="116">
        <f>INT(60+17*路线!B21+3*路线!B23+40)-ROW()*1e-05</f>
      </c>
      <c r="K51" s="1" t="str"/>
      <c r="L51" s="111">
        <f>IF(AND(OR(E51=1,E51=0),G51=1),D51,"")</f>
      </c>
      <c r="M51" s="111">
        <f>IF(AND(OR(E51=2,E51=0),G51=1),D51,"")</f>
      </c>
      <c r="N51" s="111">
        <f>IF(AND(OR(E51=3,E51=0),G51=1),D51,"")</f>
      </c>
      <c r="O51" s="111">
        <f>IF(AND(OR(E51=1,E51=0),G51=2),D51,"")</f>
      </c>
      <c r="P51" s="111">
        <f>IF(AND(OR(E51=2,E51=0),G51=2),D51,"")</f>
      </c>
      <c r="Q51" s="111">
        <f>IF(AND(OR(E51=3,E51=0),G51=2),D51,"")</f>
      </c>
      <c r="R51" s="111">
        <f>IF(AND(OR(E51=1,E51=0),G51=3),D51,"")</f>
      </c>
      <c r="S51" s="111">
        <f>IF(AND(OR(E51=2,E51=0),G51=3),D51,"")</f>
      </c>
      <c r="T51" s="111">
        <f>IF(AND(OR(E51=3,E51=0),G51=3),D51,"")</f>
      </c>
      <c r="U51" s="1" t="str"/>
      <c r="V51" s="1" t="str"/>
      <c r="W51" s="1" t="str"/>
      <c r="X51" s="1" t="str"/>
      <c r="Y51" s="1" t="str"/>
      <c r="Z51" s="1" t="str"/>
      <c r="AA51" s="1" t="str"/>
      <c r="AB51" s="1" t="str"/>
      <c r="AC51" s="1" t="str"/>
      <c r="AD51" s="111">
        <f>IF(AND(OR(E51=1,E51=0),G51=1),J51,"")</f>
      </c>
      <c r="AE51" s="111">
        <f>IF(AND(OR(E51=1,E51=0),G51=2),J51,"")</f>
      </c>
      <c r="AF51" s="111">
        <f>IF(AND(OR(E51=1,E51=0),G51=3),J51,"")</f>
      </c>
      <c r="AG51" s="1" t="str"/>
      <c r="AH51" s="1" t="str"/>
      <c r="AI51" s="1" t="str"/>
      <c r="AJ51" s="111">
        <f>IF(AND(OR(E51=2,E51=0),G51=1),J51,"")</f>
      </c>
      <c r="AK51" s="111">
        <f>IF(AND(OR(E51=2,E51=0),G51=2),J51,"")</f>
      </c>
      <c r="AL51" s="111">
        <f>IF(AND(OR(E51=2,E51=0),G51=3),J51,"")</f>
      </c>
      <c r="AM51" s="1" t="str"/>
      <c r="AN51" s="1" t="str"/>
      <c r="AO51" s="1" t="str"/>
      <c r="AP51" s="111">
        <f>IF(AND(OR(E51=3,E51=0),G51=1),J51,"")</f>
      </c>
      <c r="AQ51" s="111">
        <f>IF(AND(OR(E51=3,E51=0),G51=2),J51,"")</f>
      </c>
      <c r="AR51" s="111">
        <f>IF(AND(OR(E51=3,E51=0),G51=3),J51,"")</f>
      </c>
    </row>
    <row customHeight="true" ht="19" r="52">
      <c r="A52" s="99" t="str">
        <v>待ちなさーい！（蓝旗）</v>
      </c>
      <c r="B52" s="99" t="str"/>
      <c r="C52" s="99" t="str"/>
      <c r="D52" s="116">
        <f>持有情况!R82-ROW()*1e-05</f>
      </c>
      <c r="E52" s="116">
        <v>3</v>
      </c>
      <c r="F52" s="116">
        <v>1</v>
      </c>
      <c r="G52" s="116">
        <v>2</v>
      </c>
      <c r="H52" s="116">
        <v>1</v>
      </c>
      <c r="I52" s="111" t="str">
        <v>蓝旗</v>
      </c>
      <c r="J52" s="116">
        <f>INT(60+17*路线!B21+3*路线!B23+40)-ROW()*1e-05</f>
      </c>
      <c r="K52" s="1" t="str"/>
      <c r="L52" s="111">
        <f>IF(AND(OR(E52=1,E52=0),G52=1),D52,"")</f>
      </c>
      <c r="M52" s="111">
        <f>IF(AND(OR(E52=2,E52=0),G52=1),D52,"")</f>
      </c>
      <c r="N52" s="111">
        <f>IF(AND(OR(E52=3,E52=0),G52=1),D52,"")</f>
      </c>
      <c r="O52" s="111">
        <f>IF(AND(OR(E52=1,E52=0),G52=2),D52,"")</f>
      </c>
      <c r="P52" s="111">
        <f>IF(AND(OR(E52=2,E52=0),G52=2),D52,"")</f>
      </c>
      <c r="Q52" s="111">
        <f>IF(AND(OR(E52=3,E52=0),G52=2),D52,"")</f>
      </c>
      <c r="R52" s="111">
        <f>IF(AND(OR(E52=1,E52=0),G52=3),D52,"")</f>
      </c>
      <c r="S52" s="111">
        <f>IF(AND(OR(E52=2,E52=0),G52=3),D52,"")</f>
      </c>
      <c r="T52" s="111">
        <f>IF(AND(OR(E52=3,E52=0),G52=3),D52,"")</f>
      </c>
      <c r="U52" s="1" t="str"/>
      <c r="V52" s="1" t="str"/>
      <c r="W52" s="1" t="str"/>
      <c r="X52" s="1" t="str"/>
      <c r="Y52" s="1" t="str"/>
      <c r="Z52" s="1" t="str"/>
      <c r="AA52" s="1" t="str"/>
      <c r="AB52" s="1" t="str"/>
      <c r="AC52" s="1" t="str"/>
      <c r="AD52" s="111">
        <f>IF(AND(OR(E52=1,E52=0),G52=1),J52,"")</f>
      </c>
      <c r="AE52" s="111">
        <f>IF(AND(OR(E52=1,E52=0),G52=2),J52,"")</f>
      </c>
      <c r="AF52" s="111">
        <f>IF(AND(OR(E52=1,E52=0),G52=3),J52,"")</f>
      </c>
      <c r="AG52" s="1" t="str"/>
      <c r="AH52" s="1" t="str"/>
      <c r="AI52" s="1" t="str"/>
      <c r="AJ52" s="111">
        <f>IF(AND(OR(E52=2,E52=0),G52=1),J52,"")</f>
      </c>
      <c r="AK52" s="111">
        <f>IF(AND(OR(E52=2,E52=0),G52=2),J52,"")</f>
      </c>
      <c r="AL52" s="111">
        <f>IF(AND(OR(E52=2,E52=0),G52=3),J52,"")</f>
      </c>
      <c r="AM52" s="1" t="str"/>
      <c r="AN52" s="1" t="str"/>
      <c r="AO52" s="1" t="str"/>
      <c r="AP52" s="111">
        <f>IF(AND(OR(E52=3,E52=0),G52=1),J52,"")</f>
      </c>
      <c r="AQ52" s="111">
        <f>IF(AND(OR(E52=3,E52=0),G52=2),J52,"")</f>
      </c>
      <c r="AR52" s="111">
        <f>IF(AND(OR(E52=3,E52=0),G52=3),J52,"")</f>
      </c>
    </row>
    <row customHeight="true" ht="19" r="53">
      <c r="A53" s="86" t="str">
        <v>ゆっくりと過ごしましょう（黄购物）</v>
      </c>
      <c r="B53" s="86" t="str"/>
      <c r="C53" s="86" t="str"/>
      <c r="D53" s="116">
        <f>持有情况!AB58-ROW()*1e-05</f>
      </c>
      <c r="E53" s="116">
        <v>2</v>
      </c>
      <c r="F53" s="117">
        <v>0</v>
      </c>
      <c r="G53" s="116">
        <v>3</v>
      </c>
      <c r="H53" s="116">
        <v>1</v>
      </c>
      <c r="I53" s="111" t="str">
        <v>黄购物</v>
      </c>
      <c r="J53" s="116">
        <f>IF(路线!C6="计算",INT(60+17*路线!B21+11*路线!B39+40+20)-ROW()*1e-05,INT(60+17*路线!B21+11*路线!B39+40)-ROW()*1e-05)</f>
      </c>
      <c r="K53" s="1" t="str"/>
      <c r="L53" s="111">
        <f>IF(AND(OR(E53=1,E53=0),G53=1),D53,"")</f>
      </c>
      <c r="M53" s="111">
        <f>IF(AND(OR(E53=2,E53=0),G53=1),D53,"")</f>
      </c>
      <c r="N53" s="111">
        <f>IF(AND(OR(E53=3,E53=0),G53=1),D53,"")</f>
      </c>
      <c r="O53" s="111">
        <f>IF(AND(OR(E53=1,E53=0),G53=2),D53,"")</f>
      </c>
      <c r="P53" s="111">
        <f>IF(AND(OR(E53=2,E53=0),G53=2),D53,"")</f>
      </c>
      <c r="Q53" s="111">
        <f>IF(AND(OR(E53=3,E53=0),G53=2),D53,"")</f>
      </c>
      <c r="R53" s="111">
        <f>IF(AND(OR(E53=1,E53=0),G53=3),D53,"")</f>
      </c>
      <c r="S53" s="111">
        <f>IF(AND(OR(E53=2,E53=0),G53=3),D53,"")</f>
      </c>
      <c r="T53" s="111">
        <f>IF(AND(OR(E53=3,E53=0),G53=3),D53,"")</f>
      </c>
      <c r="U53" s="1" t="str"/>
      <c r="V53" s="1" t="str"/>
      <c r="W53" s="1" t="str"/>
      <c r="X53" s="1" t="str"/>
      <c r="Y53" s="1" t="str"/>
      <c r="Z53" s="1" t="str"/>
      <c r="AA53" s="1" t="str"/>
      <c r="AB53" s="1" t="str"/>
      <c r="AC53" s="1" t="str"/>
      <c r="AD53" s="111">
        <f>IF(AND(OR(E53=1,E53=0),G53=1),J53,"")</f>
      </c>
      <c r="AE53" s="111">
        <f>IF(AND(OR(E53=1,E53=0),G53=2),J53,"")</f>
      </c>
      <c r="AF53" s="111">
        <f>IF(AND(OR(E53=1,E53=0),G53=3),J53,"")</f>
      </c>
      <c r="AG53" s="1" t="str"/>
      <c r="AH53" s="1" t="str"/>
      <c r="AI53" s="1" t="str"/>
      <c r="AJ53" s="111">
        <f>IF(AND(OR(E53=2,E53=0),G53=1),J53,"")</f>
      </c>
      <c r="AK53" s="111">
        <f>IF(AND(OR(E53=2,E53=0),G53=2),J53,"")</f>
      </c>
      <c r="AL53" s="111">
        <f>IF(AND(OR(E53=2,E53=0),G53=3),J53,"")</f>
      </c>
      <c r="AM53" s="1" t="str"/>
      <c r="AN53" s="1" t="str"/>
      <c r="AO53" s="1" t="str"/>
      <c r="AP53" s="111">
        <f>IF(AND(OR(E53=3,E53=0),G53=1),J53,"")</f>
      </c>
      <c r="AQ53" s="111">
        <f>IF(AND(OR(E53=3,E53=0),G53=2),J53,"")</f>
      </c>
      <c r="AR53" s="111">
        <f>IF(AND(OR(E53=3,E53=0),G53=3),J53,"")</f>
      </c>
    </row>
    <row customHeight="true" ht="19" r="54">
      <c r="A54" s="99" t="str">
        <v>まじか。（光舞台）</v>
      </c>
      <c r="B54" s="99" t="str"/>
      <c r="C54" s="99" t="str"/>
      <c r="D54" s="116">
        <f>持有情况!R10-ROW()*1e-05</f>
      </c>
      <c r="E54" s="117">
        <v>0</v>
      </c>
      <c r="F54" s="117">
        <v>0</v>
      </c>
      <c r="G54" s="116">
        <v>2</v>
      </c>
      <c r="H54" s="116">
        <v>1</v>
      </c>
      <c r="I54" s="111" t="str">
        <v>光舞台</v>
      </c>
      <c r="J54" s="116">
        <f>IF(路线!C6="计算",INT(60+6*路线!B20+11*路线!B33+40+20)-ROW()*1e-05,INT(60+6*路线!B20+11*路线!B33+40)-ROW()*1e-05)</f>
      </c>
      <c r="K54" s="1" t="str"/>
      <c r="L54" s="111">
        <f>IF(AND(OR(E54=1,E54=0),G54=1),D54,"")</f>
      </c>
      <c r="M54" s="111">
        <f>IF(AND(OR(E54=2,E54=0),G54=1),D54,"")</f>
      </c>
      <c r="N54" s="111">
        <f>IF(AND(OR(E54=3,E54=0),G54=1),D54,"")</f>
      </c>
      <c r="O54" s="111">
        <f>IF(AND(OR(E54=1,E54=0),G54=2),D54,"")</f>
      </c>
      <c r="P54" s="111">
        <f>IF(AND(OR(E54=2,E54=0),G54=2),D54,"")</f>
      </c>
      <c r="Q54" s="111">
        <f>IF(AND(OR(E54=3,E54=0),G54=2),D54,"")</f>
      </c>
      <c r="R54" s="111">
        <f>IF(AND(OR(E54=1,E54=0),G54=3),D54,"")</f>
      </c>
      <c r="S54" s="111">
        <f>IF(AND(OR(E54=2,E54=0),G54=3),D54,"")</f>
      </c>
      <c r="T54" s="111">
        <f>IF(AND(OR(E54=3,E54=0),G54=3),D54,"")</f>
      </c>
      <c r="U54" s="1" t="str"/>
      <c r="V54" s="1" t="str"/>
      <c r="W54" s="1" t="str"/>
      <c r="X54" s="1" t="str"/>
      <c r="Y54" s="1" t="str"/>
      <c r="Z54" s="1" t="str"/>
      <c r="AA54" s="1" t="str"/>
      <c r="AB54" s="1" t="str"/>
      <c r="AC54" s="1" t="str"/>
      <c r="AD54" s="111">
        <f>IF(AND(OR(E54=1,E54=0),G54=1),J54,"")</f>
      </c>
      <c r="AE54" s="111">
        <f>IF(AND(OR(E54=1,E54=0),G54=2),J54,"")</f>
      </c>
      <c r="AF54" s="111">
        <f>IF(AND(OR(E54=1,E54=0),G54=3),J54,"")</f>
      </c>
      <c r="AG54" s="1" t="str"/>
      <c r="AH54" s="1" t="str"/>
      <c r="AI54" s="1" t="str"/>
      <c r="AJ54" s="111">
        <f>IF(AND(OR(E54=2,E54=0),G54=1),J54,"")</f>
      </c>
      <c r="AK54" s="111">
        <f>IF(AND(OR(E54=2,E54=0),G54=2),J54,"")</f>
      </c>
      <c r="AL54" s="111">
        <f>IF(AND(OR(E54=2,E54=0),G54=3),J54,"")</f>
      </c>
      <c r="AM54" s="1" t="str"/>
      <c r="AN54" s="1" t="str"/>
      <c r="AO54" s="1" t="str"/>
      <c r="AP54" s="111">
        <f>IF(AND(OR(E54=3,E54=0),G54=1),J54,"")</f>
      </c>
      <c r="AQ54" s="111">
        <f>IF(AND(OR(E54=3,E54=0),G54=2),J54,"")</f>
      </c>
      <c r="AR54" s="111">
        <f>IF(AND(OR(E54=3,E54=0),G54=3),J54,"")</f>
      </c>
    </row>
    <row customHeight="true" ht="19" r="55">
      <c r="A55" s="91" t="str">
        <v>もう一度、最初から！（fes1）</v>
      </c>
      <c r="B55" s="75" t="str"/>
      <c r="C55" s="75" t="str"/>
      <c r="D55" s="116">
        <f>持有情况!H76-ROW()*1e-05</f>
      </c>
      <c r="E55" s="116">
        <v>1</v>
      </c>
      <c r="F55" s="116">
        <v>1</v>
      </c>
      <c r="G55" s="116">
        <v>1</v>
      </c>
      <c r="H55" s="116">
        <v>1</v>
      </c>
      <c r="I55" s="111" t="str">
        <v>fes1</v>
      </c>
      <c r="J55" s="116">
        <f>IF(路线!C6="计算",INT((8.5/100)*路线!B13+17*路线!B21+7*路线!B30+40+20)-ROW()*1e-05,INT((8.5/100)*路线!B13+17*路线!B21+7*路线!B30+40)-ROW()*1e-05)</f>
      </c>
      <c r="K55" s="1" t="str"/>
      <c r="L55" s="111">
        <f>IF(AND(OR(E55=1,E55=0),G55=1),D55,"")</f>
      </c>
      <c r="M55" s="111">
        <f>IF(AND(OR(E55=2,E55=0),G55=1),D55,"")</f>
      </c>
      <c r="N55" s="111">
        <f>IF(AND(OR(E55=3,E55=0),G55=1),D55,"")</f>
      </c>
      <c r="O55" s="111">
        <f>IF(AND(OR(E55=1,E55=0),G55=2),D55,"")</f>
      </c>
      <c r="P55" s="111">
        <f>IF(AND(OR(E55=2,E55=0),G55=2),D55,"")</f>
      </c>
      <c r="Q55" s="111">
        <f>IF(AND(OR(E55=3,E55=0),G55=2),D55,"")</f>
      </c>
      <c r="R55" s="111">
        <f>IF(AND(OR(E55=1,E55=0),G55=3),D55,"")</f>
      </c>
      <c r="S55" s="111">
        <f>IF(AND(OR(E55=2,E55=0),G55=3),D55,"")</f>
      </c>
      <c r="T55" s="111">
        <f>IF(AND(OR(E55=3,E55=0),G55=3),D55,"")</f>
      </c>
      <c r="U55" s="1" t="str"/>
      <c r="V55" s="1" t="str"/>
      <c r="W55" s="1" t="str"/>
      <c r="X55" s="1" t="str"/>
      <c r="Y55" s="1" t="str"/>
      <c r="Z55" s="1" t="str"/>
      <c r="AA55" s="1" t="str"/>
      <c r="AB55" s="1" t="str"/>
      <c r="AC55" s="1" t="str"/>
      <c r="AD55" s="111">
        <f>IF(AND(OR(E55=1,E55=0),G55=1),J55,"")</f>
      </c>
      <c r="AE55" s="111">
        <f>IF(AND(OR(E55=1,E55=0),G55=2),J55,"")</f>
      </c>
      <c r="AF55" s="111">
        <f>IF(AND(OR(E55=1,E55=0),G55=3),J55,"")</f>
      </c>
      <c r="AG55" s="1" t="str"/>
      <c r="AH55" s="1" t="str"/>
      <c r="AI55" s="1" t="str"/>
      <c r="AJ55" s="111">
        <f>IF(AND(OR(E55=2,E55=0),G55=1),J55,"")</f>
      </c>
      <c r="AK55" s="111">
        <f>IF(AND(OR(E55=2,E55=0),G55=2),J55,"")</f>
      </c>
      <c r="AL55" s="111">
        <f>IF(AND(OR(E55=2,E55=0),G55=3),J55,"")</f>
      </c>
      <c r="AM55" s="1" t="str"/>
      <c r="AN55" s="1" t="str"/>
      <c r="AO55" s="1" t="str"/>
      <c r="AP55" s="111">
        <f>IF(AND(OR(E55=3,E55=0),G55=1),J55,"")</f>
      </c>
      <c r="AQ55" s="111">
        <f>IF(AND(OR(E55=3,E55=0),G55=2),J55,"")</f>
      </c>
      <c r="AR55" s="111">
        <f>IF(AND(OR(E55=3,E55=0),G55=3),J55,"")</f>
      </c>
    </row>
    <row customHeight="true" ht="19" r="56">
      <c r="A56" s="99" t="str">
        <v>これが私達の、3年間（蓝书签）</v>
      </c>
      <c r="B56" s="99" t="str"/>
      <c r="C56" s="99" t="str"/>
      <c r="D56" s="116">
        <f>持有情况!R88-ROW()*1e-05</f>
      </c>
      <c r="E56" s="117">
        <v>0</v>
      </c>
      <c r="F56" s="117">
        <v>0</v>
      </c>
      <c r="G56" s="116">
        <v>2</v>
      </c>
      <c r="H56" s="117">
        <v>0</v>
      </c>
      <c r="I56" s="1" t="str"/>
      <c r="J56" s="116">
        <f>INT((8.5/100)*路线!B13+17*路线!B21+7*路线!B30+40)-ROW()*1e-05</f>
      </c>
      <c r="K56" s="1" t="str"/>
      <c r="L56" s="111">
        <f>IF(AND(OR(E56=1,E56=0),G56=1),D56,"")</f>
      </c>
      <c r="M56" s="111">
        <f>IF(AND(OR(E56=2,E56=0),G56=1),D56,"")</f>
      </c>
      <c r="N56" s="111">
        <f>IF(AND(OR(E56=3,E56=0),G56=1),D56,"")</f>
      </c>
      <c r="O56" s="111">
        <f>IF(AND(OR(E56=1,E56=0),G56=2),D56,"")</f>
      </c>
      <c r="P56" s="111">
        <f>IF(AND(OR(E56=2,E56=0),G56=2),D56,"")</f>
      </c>
      <c r="Q56" s="111">
        <f>IF(AND(OR(E56=3,E56=0),G56=2),D56,"")</f>
      </c>
      <c r="R56" s="111">
        <f>IF(AND(OR(E56=1,E56=0),G56=3),D56,"")</f>
      </c>
      <c r="S56" s="111">
        <f>IF(AND(OR(E56=2,E56=0),G56=3),D56,"")</f>
      </c>
      <c r="T56" s="111">
        <f>IF(AND(OR(E56=3,E56=0),G56=3),D56,"")</f>
      </c>
      <c r="U56" s="1" t="str"/>
      <c r="V56" s="1" t="str"/>
      <c r="W56" s="1" t="str"/>
      <c r="X56" s="1" t="str"/>
      <c r="Y56" s="1" t="str"/>
      <c r="Z56" s="1" t="str"/>
      <c r="AA56" s="1" t="str"/>
      <c r="AB56" s="1" t="str"/>
      <c r="AC56" s="1" t="str"/>
      <c r="AD56" s="111">
        <f>IF(AND(OR(E56=1,E56=0),G56=1),J56,"")</f>
      </c>
      <c r="AE56" s="111">
        <f>IF(AND(OR(E56=1,E56=0),G56=2),J56,"")</f>
      </c>
      <c r="AF56" s="111">
        <f>IF(AND(OR(E56=1,E56=0),G56=3),J56,"")</f>
      </c>
      <c r="AG56" s="1" t="str"/>
      <c r="AH56" s="1" t="str"/>
      <c r="AI56" s="1" t="str"/>
      <c r="AJ56" s="111">
        <f>IF(AND(OR(E56=2,E56=0),G56=1),J56,"")</f>
      </c>
      <c r="AK56" s="111">
        <f>IF(AND(OR(E56=2,E56=0),G56=2),J56,"")</f>
      </c>
      <c r="AL56" s="111">
        <f>IF(AND(OR(E56=2,E56=0),G56=3),J56,"")</f>
      </c>
      <c r="AM56" s="1" t="str"/>
      <c r="AN56" s="1" t="str"/>
      <c r="AO56" s="1" t="str"/>
      <c r="AP56" s="111">
        <f>IF(AND(OR(E56=3,E56=0),G56=1),J56,"")</f>
      </c>
      <c r="AQ56" s="111">
        <f>IF(AND(OR(E56=3,E56=0),G56=2),J56,"")</f>
      </c>
      <c r="AR56" s="111">
        <f>IF(AND(OR(E56=3,E56=0),G56=3),J56,"")</f>
      </c>
    </row>
    <row customHeight="true" ht="19" r="57">
      <c r="A57" s="75" t="str">
        <v>興味深い飲み物（姐汁）</v>
      </c>
      <c r="B57" s="75" t="str"/>
      <c r="C57" s="75" t="str"/>
      <c r="D57" s="116">
        <f>持有情况!AL58-ROW()*1e-05</f>
      </c>
      <c r="E57" s="116">
        <v>1</v>
      </c>
      <c r="F57" s="116">
        <v>1</v>
      </c>
      <c r="G57" s="116">
        <v>1</v>
      </c>
      <c r="H57" s="116">
        <v>1</v>
      </c>
      <c r="I57" s="111" t="str">
        <v>姐汁</v>
      </c>
      <c r="J57" s="116">
        <f>IF(路线!C6="计算",INT(45+5*路线!B30+13*路线!B21+30+20)-ROW()*1e-05,INT(45+5*路线!B30+13*路线!B21+30)-ROW()*1e-05)</f>
      </c>
      <c r="K57" s="1" t="str"/>
      <c r="L57" s="111">
        <f>IF(AND(OR(E57=1,E57=0),G57=1),D57,"")</f>
      </c>
      <c r="M57" s="111">
        <f>IF(AND(OR(E57=2,E57=0),G57=1),D57,"")</f>
      </c>
      <c r="N57" s="111">
        <f>IF(AND(OR(E57=3,E57=0),G57=1),D57,"")</f>
      </c>
      <c r="O57" s="111">
        <f>IF(AND(OR(E57=1,E57=0),G57=2),D57,"")</f>
      </c>
      <c r="P57" s="111">
        <f>IF(AND(OR(E57=2,E57=0),G57=2),D57,"")</f>
      </c>
      <c r="Q57" s="111">
        <f>IF(AND(OR(E57=3,E57=0),G57=2),D57,"")</f>
      </c>
      <c r="R57" s="111">
        <f>IF(AND(OR(E57=1,E57=0),G57=3),D57,"")</f>
      </c>
      <c r="S57" s="111">
        <f>IF(AND(OR(E57=2,E57=0),G57=3),D57,"")</f>
      </c>
      <c r="T57" s="111">
        <f>IF(AND(OR(E57=3,E57=0),G57=3),D57,"")</f>
      </c>
      <c r="U57" s="1" t="str"/>
      <c r="V57" s="1" t="str"/>
      <c r="W57" s="1" t="str"/>
      <c r="X57" s="1" t="str"/>
      <c r="Y57" s="1" t="str"/>
      <c r="Z57" s="1" t="str"/>
      <c r="AA57" s="1" t="str"/>
      <c r="AB57" s="1" t="str"/>
      <c r="AC57" s="1" t="str"/>
      <c r="AD57" s="111">
        <f>IF(AND(OR(E57=1,E57=0),G57=1),J57,"")</f>
      </c>
      <c r="AE57" s="111">
        <f>IF(AND(OR(E57=1,E57=0),G57=2),J57,"")</f>
      </c>
      <c r="AF57" s="111">
        <f>IF(AND(OR(E57=1,E57=0),G57=3),J57,"")</f>
      </c>
      <c r="AG57" s="1" t="str"/>
      <c r="AH57" s="1" t="str"/>
      <c r="AI57" s="1" t="str"/>
      <c r="AJ57" s="111">
        <f>IF(AND(OR(E57=2,E57=0),G57=1),J57,"")</f>
      </c>
      <c r="AK57" s="111">
        <f>IF(AND(OR(E57=2,E57=0),G57=2),J57,"")</f>
      </c>
      <c r="AL57" s="111">
        <f>IF(AND(OR(E57=2,E57=0),G57=3),J57,"")</f>
      </c>
      <c r="AM57" s="1" t="str"/>
      <c r="AN57" s="1" t="str"/>
      <c r="AO57" s="1" t="str"/>
      <c r="AP57" s="111">
        <f>IF(AND(OR(E57=3,E57=0),G57=1),J57,"")</f>
      </c>
      <c r="AQ57" s="111">
        <f>IF(AND(OR(E57=3,E57=0),G57=2),J57,"")</f>
      </c>
      <c r="AR57" s="111">
        <f>IF(AND(OR(E57=3,E57=0),G57=3),J57,"")</f>
      </c>
    </row>
    <row customHeight="true" ht="19" r="58">
      <c r="A58" s="75" t="str">
        <v>1人たりとも欠ける事なく（一年二班）</v>
      </c>
      <c r="B58" s="75" t="str"/>
      <c r="C58" s="75" t="str"/>
      <c r="D58" s="116">
        <f>持有情况!H58-ROW()*1e-05</f>
      </c>
      <c r="E58" s="117">
        <v>0</v>
      </c>
      <c r="F58" s="116">
        <v>1</v>
      </c>
      <c r="G58" s="116">
        <v>1</v>
      </c>
      <c r="H58" s="116">
        <v>1</v>
      </c>
      <c r="I58" s="111" t="str">
        <v>一年二班</v>
      </c>
      <c r="J58" s="116">
        <f>INT(60+8*路线!B33+40)-ROW()*1e-05</f>
      </c>
      <c r="K58" s="1" t="str"/>
      <c r="L58" s="111">
        <f>IF(AND(OR(E58=1,E58=0),G58=1),D58,"")</f>
      </c>
      <c r="M58" s="111">
        <f>IF(AND(OR(E58=2,E58=0),G58=1),D58,"")</f>
      </c>
      <c r="N58" s="111">
        <f>IF(AND(OR(E58=3,E58=0),G58=1),D58,"")</f>
      </c>
      <c r="O58" s="111">
        <f>IF(AND(OR(E58=1,E58=0),G58=2),D58,"")</f>
      </c>
      <c r="P58" s="111">
        <f>IF(AND(OR(E58=2,E58=0),G58=2),D58,"")</f>
      </c>
      <c r="Q58" s="111">
        <f>IF(AND(OR(E58=3,E58=0),G58=2),D58,"")</f>
      </c>
      <c r="R58" s="111">
        <f>IF(AND(OR(E58=1,E58=0),G58=3),D58,"")</f>
      </c>
      <c r="S58" s="111">
        <f>IF(AND(OR(E58=2,E58=0),G58=3),D58,"")</f>
      </c>
      <c r="T58" s="111">
        <f>IF(AND(OR(E58=3,E58=0),G58=3),D58,"")</f>
      </c>
      <c r="U58" s="1" t="str"/>
      <c r="V58" s="1" t="str"/>
      <c r="W58" s="1" t="str"/>
      <c r="X58" s="1" t="str"/>
      <c r="Y58" s="1" t="str"/>
      <c r="Z58" s="1" t="str"/>
      <c r="AA58" s="1" t="str"/>
      <c r="AB58" s="1" t="str"/>
      <c r="AC58" s="1" t="str"/>
      <c r="AD58" s="111">
        <f>IF(AND(OR(E58=1,E58=0),G58=1),J58,"")</f>
      </c>
      <c r="AE58" s="111">
        <f>IF(AND(OR(E58=1,E58=0),G58=2),J58,"")</f>
      </c>
      <c r="AF58" s="111">
        <f>IF(AND(OR(E58=1,E58=0),G58=3),J58,"")</f>
      </c>
      <c r="AG58" s="1" t="str"/>
      <c r="AH58" s="1" t="str"/>
      <c r="AI58" s="1" t="str"/>
      <c r="AJ58" s="111">
        <f>IF(AND(OR(E58=2,E58=0),G58=1),J58,"")</f>
      </c>
      <c r="AK58" s="111">
        <f>IF(AND(OR(E58=2,E58=0),G58=2),J58,"")</f>
      </c>
      <c r="AL58" s="111">
        <f>IF(AND(OR(E58=2,E58=0),G58=3),J58,"")</f>
      </c>
      <c r="AM58" s="1" t="str"/>
      <c r="AN58" s="1" t="str"/>
      <c r="AO58" s="1" t="str"/>
      <c r="AP58" s="111">
        <f>IF(AND(OR(E58=3,E58=0),G58=1),J58,"")</f>
      </c>
      <c r="AQ58" s="111">
        <f>IF(AND(OR(E58=3,E58=0),G58=2),J58,"")</f>
      </c>
      <c r="AR58" s="111">
        <f>IF(AND(OR(E58=3,E58=0),G58=3),J58,"")</f>
      </c>
    </row>
    <row customHeight="true" ht="19" r="59">
      <c r="A59" s="99" t="str">
        <v>どりゃぎゃ（矿泉水）</v>
      </c>
      <c r="B59" s="99" t="str"/>
      <c r="C59" s="99" t="str"/>
      <c r="D59" s="116">
        <f>IF(路线!B4="计算",持有情况!AW36,持有情况!AV34)-ROW()*1e-05</f>
      </c>
      <c r="E59" s="116">
        <v>1</v>
      </c>
      <c r="F59" s="116">
        <v>1</v>
      </c>
      <c r="G59" s="116">
        <v>2</v>
      </c>
      <c r="H59" s="117">
        <v>0</v>
      </c>
      <c r="I59" s="1" t="str"/>
      <c r="J59" s="116">
        <f>IF(路线!B4="计算",INT(45+11*路线!B34+4*路线!B20+30+持有情况!AW33),INT(45+11*路线!B34+4*路线!B20+30))-ROW()*1e-05</f>
      </c>
      <c r="K59" s="1" t="str"/>
      <c r="L59" s="111">
        <f>IF(AND(OR(E59=1,E59=0),G59=1),D59,"")</f>
      </c>
      <c r="M59" s="111">
        <f>IF(AND(OR(E59=2,E59=0),G59=1),D59,"")</f>
      </c>
      <c r="N59" s="111">
        <f>IF(AND(OR(E59=3,E59=0),G59=1),D59,"")</f>
      </c>
      <c r="O59" s="111">
        <f>IF(AND(OR(E59=1,E59=0),G59=2),D59,"")</f>
      </c>
      <c r="P59" s="111">
        <f>IF(AND(OR(E59=2,E59=0),G59=2),D59,"")</f>
      </c>
      <c r="Q59" s="111">
        <f>IF(AND(OR(E59=3,E59=0),G59=2),D59,"")</f>
      </c>
      <c r="R59" s="111">
        <f>IF(AND(OR(E59=1,E59=0),G59=3),D59,"")</f>
      </c>
      <c r="S59" s="111">
        <f>IF(AND(OR(E59=2,E59=0),G59=3),D59,"")</f>
      </c>
      <c r="T59" s="111">
        <f>IF(AND(OR(E59=3,E59=0),G59=3),D59,"")</f>
      </c>
      <c r="U59" s="1" t="str"/>
      <c r="V59" s="1" t="str"/>
      <c r="W59" s="1" t="str"/>
      <c r="X59" s="1" t="str"/>
      <c r="Y59" s="1" t="str"/>
      <c r="Z59" s="1" t="str"/>
      <c r="AA59" s="1" t="str"/>
      <c r="AB59" s="1" t="str"/>
      <c r="AC59" s="1" t="str"/>
      <c r="AD59" s="111">
        <f>IF(AND(OR(E59=1,E59=0),G59=1),J59,"")</f>
      </c>
      <c r="AE59" s="111">
        <f>IF(AND(OR(E59=1,E59=0),G59=2),J59,"")</f>
      </c>
      <c r="AF59" s="111">
        <f>IF(AND(OR(E59=1,E59=0),G59=3),J59,"")</f>
      </c>
      <c r="AG59" s="1" t="str"/>
      <c r="AH59" s="1" t="str"/>
      <c r="AI59" s="1" t="str"/>
      <c r="AJ59" s="111">
        <f>IF(AND(OR(E59=2,E59=0),G59=1),J59,"")</f>
      </c>
      <c r="AK59" s="111">
        <f>IF(AND(OR(E59=2,E59=0),G59=2),J59,"")</f>
      </c>
      <c r="AL59" s="111">
        <f>IF(AND(OR(E59=2,E59=0),G59=3),J59,"")</f>
      </c>
      <c r="AM59" s="1" t="str"/>
      <c r="AN59" s="1" t="str"/>
      <c r="AO59" s="1" t="str"/>
      <c r="AP59" s="111">
        <f>IF(AND(OR(E59=3,E59=0),G59=1),J59,"")</f>
      </c>
      <c r="AQ59" s="111">
        <f>IF(AND(OR(E59=3,E59=0),G59=2),J59,"")</f>
      </c>
      <c r="AR59" s="111">
        <f>IF(AND(OR(E59=3,E59=0),G59=3),J59,"")</f>
      </c>
    </row>
    <row customHeight="true" ht="19" r="60">
      <c r="A60" s="86" t="str">
        <v>バレンタイン♡会議中ーっ！（情人节会议）</v>
      </c>
      <c r="B60" s="86" t="str"/>
      <c r="C60" s="86" t="str"/>
      <c r="D60" s="116">
        <f>持有情况!AB94-ROW()*1e-05</f>
      </c>
      <c r="E60" s="116">
        <v>3</v>
      </c>
      <c r="F60" s="117">
        <v>0</v>
      </c>
      <c r="G60" s="116">
        <v>3</v>
      </c>
      <c r="H60" s="116">
        <v>1</v>
      </c>
      <c r="I60" s="111" t="str">
        <v>情人节会议</v>
      </c>
      <c r="J60" s="116">
        <f>IF(路线!C6="计算",INT((8.5/100)*路线!B13+11*路线!B35+9*路线!B28+17*路线!B21+40+20)-ROW()*1e-05,INT((8.5/100)*路线!B13+11*路线!B35+9*路线!B28+17*路线!B21+40)-ROW()*1e-05)</f>
      </c>
      <c r="K60" s="1" t="str"/>
      <c r="L60" s="111">
        <f>IF(AND(OR(E60=1,E60=0),G60=1),D60,"")</f>
      </c>
      <c r="M60" s="111">
        <f>IF(AND(OR(E60=2,E60=0),G60=1),D60,"")</f>
      </c>
      <c r="N60" s="111">
        <f>IF(AND(OR(E60=3,E60=0),G60=1),D60,"")</f>
      </c>
      <c r="O60" s="111">
        <f>IF(AND(OR(E60=1,E60=0),G60=2),D60,"")</f>
      </c>
      <c r="P60" s="111">
        <f>IF(AND(OR(E60=2,E60=0),G60=2),D60,"")</f>
      </c>
      <c r="Q60" s="111">
        <f>IF(AND(OR(E60=3,E60=0),G60=2),D60,"")</f>
      </c>
      <c r="R60" s="111">
        <f>IF(AND(OR(E60=1,E60=0),G60=3),D60,"")</f>
      </c>
      <c r="S60" s="111">
        <f>IF(AND(OR(E60=2,E60=0),G60=3),D60,"")</f>
      </c>
      <c r="T60" s="111">
        <f>IF(AND(OR(E60=3,E60=0),G60=3),D60,"")</f>
      </c>
      <c r="U60" s="1" t="str"/>
      <c r="V60" s="1" t="str"/>
      <c r="W60" s="1" t="str"/>
      <c r="X60" s="1" t="str"/>
      <c r="Y60" s="1" t="str"/>
      <c r="Z60" s="1" t="str"/>
      <c r="AA60" s="1" t="str"/>
      <c r="AB60" s="1" t="str"/>
      <c r="AC60" s="1" t="str"/>
      <c r="AD60" s="111">
        <f>IF(AND(OR(E60=1,E60=0),G60=1),J60,"")</f>
      </c>
      <c r="AE60" s="111">
        <f>IF(AND(OR(E60=1,E60=0),G60=2),J60,"")</f>
      </c>
      <c r="AF60" s="111">
        <f>IF(AND(OR(E60=1,E60=0),G60=3),J60,"")</f>
      </c>
      <c r="AG60" s="1" t="str"/>
      <c r="AH60" s="1" t="str"/>
      <c r="AI60" s="1" t="str"/>
      <c r="AJ60" s="111">
        <f>IF(AND(OR(E60=2,E60=0),G60=1),J60,"")</f>
      </c>
      <c r="AK60" s="111">
        <f>IF(AND(OR(E60=2,E60=0),G60=2),J60,"")</f>
      </c>
      <c r="AL60" s="111">
        <f>IF(AND(OR(E60=2,E60=0),G60=3),J60,"")</f>
      </c>
      <c r="AM60" s="1" t="str"/>
      <c r="AN60" s="1" t="str"/>
      <c r="AO60" s="1" t="str"/>
      <c r="AP60" s="111">
        <f>IF(AND(OR(E60=3,E60=0),G60=1),J60,"")</f>
      </c>
      <c r="AQ60" s="111">
        <f>IF(AND(OR(E60=3,E60=0),G60=2),J60,"")</f>
      </c>
      <c r="AR60" s="111">
        <f>IF(AND(OR(E60=3,E60=0),G60=3),J60,"")</f>
      </c>
    </row>
    <row customHeight="true" ht="19" r="61">
      <c r="A61" s="99" t="str">
        <v>そろそろ焼けたかな？（红薯）</v>
      </c>
      <c r="B61" s="99" t="str"/>
      <c r="C61" s="99" t="str"/>
      <c r="D61" s="116">
        <f>持有情况!R64-ROW()*1e-05</f>
      </c>
      <c r="E61" s="116">
        <v>2</v>
      </c>
      <c r="F61" s="116">
        <v>1</v>
      </c>
      <c r="G61" s="116">
        <v>2</v>
      </c>
      <c r="H61" s="116">
        <v>1</v>
      </c>
      <c r="I61" s="111" t="str">
        <v>红薯</v>
      </c>
      <c r="J61" s="116">
        <f>IF(路线!C6="计算",INT(60+17*路线!B21+17*路线!B34+40+20)-ROW()*1e-05,INT(60+17*路线!B21+17*路线!B34+40)-ROW()*1e-05)</f>
      </c>
      <c r="K61" s="1" t="str"/>
      <c r="L61" s="111">
        <f>IF(AND(OR(E61=1,E61=0),G61=1),D61,"")</f>
      </c>
      <c r="M61" s="111">
        <f>IF(AND(OR(E61=2,E61=0),G61=1),D61,"")</f>
      </c>
      <c r="N61" s="111">
        <f>IF(AND(OR(E61=3,E61=0),G61=1),D61,"")</f>
      </c>
      <c r="O61" s="111">
        <f>IF(AND(OR(E61=1,E61=0),G61=2),D61,"")</f>
      </c>
      <c r="P61" s="111">
        <f>IF(AND(OR(E61=2,E61=0),G61=2),D61,"")</f>
      </c>
      <c r="Q61" s="111">
        <f>IF(AND(OR(E61=3,E61=0),G61=2),D61,"")</f>
      </c>
      <c r="R61" s="111">
        <f>IF(AND(OR(E61=1,E61=0),G61=3),D61,"")</f>
      </c>
      <c r="S61" s="111">
        <f>IF(AND(OR(E61=2,E61=0),G61=3),D61,"")</f>
      </c>
      <c r="T61" s="111">
        <f>IF(AND(OR(E61=3,E61=0),G61=3),D61,"")</f>
      </c>
      <c r="U61" s="1" t="str"/>
      <c r="V61" s="1" t="str"/>
      <c r="W61" s="1" t="str"/>
      <c r="X61" s="1" t="str"/>
      <c r="Y61" s="1" t="str"/>
      <c r="Z61" s="1" t="str"/>
      <c r="AA61" s="1" t="str"/>
      <c r="AB61" s="1" t="str"/>
      <c r="AC61" s="1" t="str"/>
      <c r="AD61" s="111">
        <f>IF(AND(OR(E61=1,E61=0),G61=1),J61,"")</f>
      </c>
      <c r="AE61" s="111">
        <f>IF(AND(OR(E61=1,E61=0),G61=2),J61,"")</f>
      </c>
      <c r="AF61" s="111">
        <f>IF(AND(OR(E61=1,E61=0),G61=3),J61,"")</f>
      </c>
      <c r="AG61" s="1" t="str"/>
      <c r="AH61" s="1" t="str"/>
      <c r="AI61" s="1" t="str"/>
      <c r="AJ61" s="111">
        <f>IF(AND(OR(E61=2,E61=0),G61=1),J61,"")</f>
      </c>
      <c r="AK61" s="111">
        <f>IF(AND(OR(E61=2,E61=0),G61=2),J61,"")</f>
      </c>
      <c r="AL61" s="111">
        <f>IF(AND(OR(E61=2,E61=0),G61=3),J61,"")</f>
      </c>
      <c r="AM61" s="1" t="str"/>
      <c r="AN61" s="1" t="str"/>
      <c r="AO61" s="1" t="str"/>
      <c r="AP61" s="111">
        <f>IF(AND(OR(E61=3,E61=0),G61=1),J61,"")</f>
      </c>
      <c r="AQ61" s="111">
        <f>IF(AND(OR(E61=3,E61=0),G61=2),J61,"")</f>
      </c>
      <c r="AR61" s="111">
        <f>IF(AND(OR(E61=3,E61=0),G61=3),J61,"")</f>
      </c>
    </row>
    <row customHeight="true" ht="19" r="62">
      <c r="A62" s="86" t="str">
        <v>あなたにも作ってあげる！（黄睡）</v>
      </c>
      <c r="B62" s="86" t="str"/>
      <c r="C62" s="86" t="str"/>
      <c r="D62" s="116">
        <f>持有情况!AB34-ROW()*1e-05</f>
      </c>
      <c r="E62" s="117">
        <v>0</v>
      </c>
      <c r="F62" s="117">
        <v>0</v>
      </c>
      <c r="G62" s="116">
        <v>3</v>
      </c>
      <c r="H62" s="116">
        <v>1</v>
      </c>
      <c r="I62" s="111" t="str">
        <v>黄睡</v>
      </c>
      <c r="J62" s="116">
        <f>INT(60+6*路线!B20+22*路线!B32+40)-ROW()*1e-05</f>
      </c>
      <c r="K62" s="1" t="str"/>
      <c r="L62" s="111">
        <f>IF(AND(OR(E62=1,E62=0),G62=1),D62,"")</f>
      </c>
      <c r="M62" s="111">
        <f>IF(AND(OR(E62=2,E62=0),G62=1),D62,"")</f>
      </c>
      <c r="N62" s="111">
        <f>IF(AND(OR(E62=3,E62=0),G62=1),D62,"")</f>
      </c>
      <c r="O62" s="111">
        <f>IF(AND(OR(E62=1,E62=0),G62=2),D62,"")</f>
      </c>
      <c r="P62" s="111">
        <f>IF(AND(OR(E62=2,E62=0),G62=2),D62,"")</f>
      </c>
      <c r="Q62" s="111">
        <f>IF(AND(OR(E62=3,E62=0),G62=2),D62,"")</f>
      </c>
      <c r="R62" s="111">
        <f>IF(AND(OR(E62=1,E62=0),G62=3),D62,"")</f>
      </c>
      <c r="S62" s="111">
        <f>IF(AND(OR(E62=2,E62=0),G62=3),D62,"")</f>
      </c>
      <c r="T62" s="111">
        <f>IF(AND(OR(E62=3,E62=0),G62=3),D62,"")</f>
      </c>
      <c r="U62" s="1" t="str"/>
      <c r="V62" s="1" t="str"/>
      <c r="W62" s="1" t="str"/>
      <c r="X62" s="1" t="str"/>
      <c r="Y62" s="1" t="str"/>
      <c r="Z62" s="1" t="str"/>
      <c r="AA62" s="1" t="str"/>
      <c r="AB62" s="1" t="str"/>
      <c r="AC62" s="1" t="str"/>
      <c r="AD62" s="111">
        <f>IF(AND(OR(E62=1,E62=0),G62=1),J62,"")</f>
      </c>
      <c r="AE62" s="111">
        <f>IF(AND(OR(E62=1,E62=0),G62=2),J62,"")</f>
      </c>
      <c r="AF62" s="111">
        <f>IF(AND(OR(E62=1,E62=0),G62=3),J62,"")</f>
      </c>
      <c r="AG62" s="1" t="str"/>
      <c r="AH62" s="1" t="str"/>
      <c r="AI62" s="1" t="str"/>
      <c r="AJ62" s="111">
        <f>IF(AND(OR(E62=2,E62=0),G62=1),J62,"")</f>
      </c>
      <c r="AK62" s="111">
        <f>IF(AND(OR(E62=2,E62=0),G62=2),J62,"")</f>
      </c>
      <c r="AL62" s="111">
        <f>IF(AND(OR(E62=2,E62=0),G62=3),J62,"")</f>
      </c>
      <c r="AM62" s="1" t="str"/>
      <c r="AN62" s="1" t="str"/>
      <c r="AO62" s="1" t="str"/>
      <c r="AP62" s="111">
        <f>IF(AND(OR(E62=3,E62=0),G62=1),J62,"")</f>
      </c>
      <c r="AQ62" s="111">
        <f>IF(AND(OR(E62=3,E62=0),G62=2),J62,"")</f>
      </c>
      <c r="AR62" s="111">
        <f>IF(AND(OR(E62=3,E62=0),G62=3),J62,"")</f>
      </c>
    </row>
    <row customHeight="true" ht="19" r="63">
      <c r="A63" s="75" t="str">
        <v>基礎＞応用（红老师）</v>
      </c>
      <c r="B63" s="75" t="str"/>
      <c r="C63" s="75" t="str"/>
      <c r="D63" s="116">
        <f>持有情况!AL64-ROW()*1e-05</f>
      </c>
      <c r="E63" s="117">
        <v>0</v>
      </c>
      <c r="F63" s="116">
        <v>1</v>
      </c>
      <c r="G63" s="116">
        <v>1</v>
      </c>
      <c r="H63" s="117">
        <v>0</v>
      </c>
      <c r="I63" s="1" t="str"/>
      <c r="J63" s="116">
        <f>INT(45+2*(路线!B23+路线!B24)+30)-ROW()*1e-05</f>
      </c>
      <c r="K63" s="1" t="str"/>
      <c r="L63" s="111">
        <f>IF(AND(OR(E63=1,E63=0),G63=1),D63,"")</f>
      </c>
      <c r="M63" s="111">
        <f>IF(AND(OR(E63=2,E63=0),G63=1),D63,"")</f>
      </c>
      <c r="N63" s="111">
        <f>IF(AND(OR(E63=3,E63=0),G63=1),D63,"")</f>
      </c>
      <c r="O63" s="111">
        <f>IF(AND(OR(E63=1,E63=0),G63=2),D63,"")</f>
      </c>
      <c r="P63" s="111">
        <f>IF(AND(OR(E63=2,E63=0),G63=2),D63,"")</f>
      </c>
      <c r="Q63" s="111">
        <f>IF(AND(OR(E63=3,E63=0),G63=2),D63,"")</f>
      </c>
      <c r="R63" s="111">
        <f>IF(AND(OR(E63=1,E63=0),G63=3),D63,"")</f>
      </c>
      <c r="S63" s="111">
        <f>IF(AND(OR(E63=2,E63=0),G63=3),D63,"")</f>
      </c>
      <c r="T63" s="111">
        <f>IF(AND(OR(E63=3,E63=0),G63=3),D63,"")</f>
      </c>
      <c r="U63" s="1" t="str"/>
      <c r="V63" s="1" t="str"/>
      <c r="W63" s="1" t="str"/>
      <c r="X63" s="1" t="str"/>
      <c r="Y63" s="1" t="str"/>
      <c r="Z63" s="1" t="str"/>
      <c r="AA63" s="1" t="str"/>
      <c r="AB63" s="1" t="str"/>
      <c r="AC63" s="1" t="str"/>
      <c r="AD63" s="111">
        <f>IF(AND(OR(E63=1,E63=0),G63=1),J63,"")</f>
      </c>
      <c r="AE63" s="111">
        <f>IF(AND(OR(E63=1,E63=0),G63=2),J63,"")</f>
      </c>
      <c r="AF63" s="111">
        <f>IF(AND(OR(E63=1,E63=0),G63=3),J63,"")</f>
      </c>
      <c r="AG63" s="1" t="str"/>
      <c r="AH63" s="1" t="str"/>
      <c r="AI63" s="1" t="str"/>
      <c r="AJ63" s="111">
        <f>IF(AND(OR(E63=2,E63=0),G63=1),J63,"")</f>
      </c>
      <c r="AK63" s="111">
        <f>IF(AND(OR(E63=2,E63=0),G63=2),J63,"")</f>
      </c>
      <c r="AL63" s="111">
        <f>IF(AND(OR(E63=2,E63=0),G63=3),J63,"")</f>
      </c>
      <c r="AM63" s="1" t="str"/>
      <c r="AN63" s="1" t="str"/>
      <c r="AO63" s="1" t="str"/>
      <c r="AP63" s="111">
        <f>IF(AND(OR(E63=3,E63=0),G63=1),J63,"")</f>
      </c>
      <c r="AQ63" s="111">
        <f>IF(AND(OR(E63=3,E63=0),G63=2),J63,"")</f>
      </c>
      <c r="AR63" s="111">
        <f>IF(AND(OR(E63=3,E63=0),G63=3),J63,"")</f>
      </c>
    </row>
    <row customHeight="true" ht="19" r="64">
      <c r="A64" s="75" t="str">
        <v>まだ上がりませんように！（撑伞）</v>
      </c>
      <c r="B64" s="75" t="str"/>
      <c r="C64" s="75" t="str"/>
      <c r="D64" s="116">
        <f>持有情况!H40-ROW()*1e-05</f>
      </c>
      <c r="E64" s="117">
        <v>0</v>
      </c>
      <c r="F64" s="117">
        <v>0</v>
      </c>
      <c r="G64" s="116">
        <v>1</v>
      </c>
      <c r="H64" s="116">
        <v>1</v>
      </c>
      <c r="I64" s="111" t="str">
        <v>撑伞</v>
      </c>
      <c r="J64" s="116">
        <f>IF(路线!C6="计算",INT((8.5/100)*路线!B13+17*路线!B21+9*路线!B29+40+20)-ROW()*1e-05,INT((8.5/100)*路线!B13+17*路线!B21+9*路线!B29+40)-ROW()*1e-05)</f>
      </c>
      <c r="K64" s="1" t="str"/>
      <c r="L64" s="111">
        <f>IF(AND(OR(E64=1,E64=0),G64=1),D64,"")</f>
      </c>
      <c r="M64" s="111">
        <f>IF(AND(OR(E64=2,E64=0),G64=1),D64,"")</f>
      </c>
      <c r="N64" s="111">
        <f>IF(AND(OR(E64=3,E64=0),G64=1),D64,"")</f>
      </c>
      <c r="O64" s="111">
        <f>IF(AND(OR(E64=1,E64=0),G64=2),D64,"")</f>
      </c>
      <c r="P64" s="111">
        <f>IF(AND(OR(E64=2,E64=0),G64=2),D64,"")</f>
      </c>
      <c r="Q64" s="111">
        <f>IF(AND(OR(E64=3,E64=0),G64=2),D64,"")</f>
      </c>
      <c r="R64" s="111">
        <f>IF(AND(OR(E64=1,E64=0),G64=3),D64,"")</f>
      </c>
      <c r="S64" s="111">
        <f>IF(AND(OR(E64=2,E64=0),G64=3),D64,"")</f>
      </c>
      <c r="T64" s="111">
        <f>IF(AND(OR(E64=3,E64=0),G64=3),D64,"")</f>
      </c>
      <c r="U64" s="1" t="str"/>
      <c r="V64" s="1" t="str"/>
      <c r="W64" s="1" t="str"/>
      <c r="X64" s="1" t="str"/>
      <c r="Y64" s="1" t="str"/>
      <c r="Z64" s="1" t="str"/>
      <c r="AA64" s="1" t="str"/>
      <c r="AB64" s="1" t="str"/>
      <c r="AC64" s="1" t="str"/>
      <c r="AD64" s="111">
        <f>IF(AND(OR(E64=1,E64=0),G64=1),J64,"")</f>
      </c>
      <c r="AE64" s="111">
        <f>IF(AND(OR(E64=1,E64=0),G64=2),J64,"")</f>
      </c>
      <c r="AF64" s="111">
        <f>IF(AND(OR(E64=1,E64=0),G64=3),J64,"")</f>
      </c>
      <c r="AG64" s="1" t="str"/>
      <c r="AH64" s="1" t="str"/>
      <c r="AI64" s="1" t="str"/>
      <c r="AJ64" s="111">
        <f>IF(AND(OR(E64=2,E64=0),G64=1),J64,"")</f>
      </c>
      <c r="AK64" s="111">
        <f>IF(AND(OR(E64=2,E64=0),G64=2),J64,"")</f>
      </c>
      <c r="AL64" s="111">
        <f>IF(AND(OR(E64=2,E64=0),G64=3),J64,"")</f>
      </c>
      <c r="AM64" s="1" t="str"/>
      <c r="AN64" s="1" t="str"/>
      <c r="AO64" s="1" t="str"/>
      <c r="AP64" s="111">
        <f>IF(AND(OR(E64=3,E64=0),G64=1),J64,"")</f>
      </c>
      <c r="AQ64" s="111">
        <f>IF(AND(OR(E64=3,E64=0),G64=2),J64,"")</f>
      </c>
      <c r="AR64" s="111">
        <f>IF(AND(OR(E64=3,E64=0),G64=3),J64,"")</f>
      </c>
    </row>
    <row customHeight="true" ht="19" r="65">
      <c r="A65" s="86" t="str">
        <v>SSCの爆誕（毒蘑菇旧鞋跟）</v>
      </c>
      <c r="B65" s="86" t="str"/>
      <c r="C65" s="86" t="str"/>
      <c r="D65" s="116">
        <f>持有情况!BF70-ROW()*1e-05</f>
      </c>
      <c r="E65" s="116">
        <v>3</v>
      </c>
      <c r="F65" s="116">
        <v>1</v>
      </c>
      <c r="G65" s="116">
        <v>3</v>
      </c>
      <c r="H65" s="116">
        <v>1</v>
      </c>
      <c r="I65" s="111" t="str">
        <v>毒蘑菇旧鞋跟</v>
      </c>
      <c r="J65" s="116">
        <f>IF(路线!C6="计算",INT((6.4/100)*路线!B13+10*路线!B31+13*路线!B21+30+20)-ROW()*1e-05,INT((6.4/100)*路线!B13+10*路线!B31+13*路线!B21+30)-ROW()*1e-05)</f>
      </c>
      <c r="K65" s="1" t="str"/>
      <c r="L65" s="111">
        <f>IF(AND(OR(E65=1,E65=0),G65=1),D65,"")</f>
      </c>
      <c r="M65" s="111">
        <f>IF(AND(OR(E65=2,E65=0),G65=1),D65,"")</f>
      </c>
      <c r="N65" s="111">
        <f>IF(AND(OR(E65=3,E65=0),G65=1),D65,"")</f>
      </c>
      <c r="O65" s="111">
        <f>IF(AND(OR(E65=1,E65=0),G65=2),D65,"")</f>
      </c>
      <c r="P65" s="111">
        <f>IF(AND(OR(E65=2,E65=0),G65=2),D65,"")</f>
      </c>
      <c r="Q65" s="111">
        <f>IF(AND(OR(E65=3,E65=0),G65=2),D65,"")</f>
      </c>
      <c r="R65" s="111">
        <f>IF(AND(OR(E65=1,E65=0),G65=3),D65,"")</f>
      </c>
      <c r="S65" s="111">
        <f>IF(AND(OR(E65=2,E65=0),G65=3),D65,"")</f>
      </c>
      <c r="T65" s="111">
        <f>IF(AND(OR(E65=3,E65=0),G65=3),D65,"")</f>
      </c>
      <c r="U65" s="1" t="str"/>
      <c r="V65" s="1" t="str"/>
      <c r="W65" s="1" t="str"/>
      <c r="X65" s="1" t="str"/>
      <c r="Y65" s="1" t="str"/>
      <c r="Z65" s="1" t="str"/>
      <c r="AA65" s="1" t="str"/>
      <c r="AB65" s="1" t="str"/>
      <c r="AC65" s="1" t="str"/>
      <c r="AD65" s="111">
        <f>IF(AND(OR(E65=1,E65=0),G65=1),J65,"")</f>
      </c>
      <c r="AE65" s="111">
        <f>IF(AND(OR(E65=1,E65=0),G65=2),J65,"")</f>
      </c>
      <c r="AF65" s="111">
        <f>IF(AND(OR(E65=1,E65=0),G65=3),J65,"")</f>
      </c>
      <c r="AG65" s="1" t="str"/>
      <c r="AH65" s="1" t="str"/>
      <c r="AI65" s="1" t="str"/>
      <c r="AJ65" s="111">
        <f>IF(AND(OR(E65=2,E65=0),G65=1),J65,"")</f>
      </c>
      <c r="AK65" s="111">
        <f>IF(AND(OR(E65=2,E65=0),G65=2),J65,"")</f>
      </c>
      <c r="AL65" s="111">
        <f>IF(AND(OR(E65=2,E65=0),G65=3),J65,"")</f>
      </c>
      <c r="AM65" s="1" t="str"/>
      <c r="AN65" s="1" t="str"/>
      <c r="AO65" s="1" t="str"/>
      <c r="AP65" s="111">
        <f>IF(AND(OR(E65=3,E65=0),G65=1),J65,"")</f>
      </c>
      <c r="AQ65" s="111">
        <f>IF(AND(OR(E65=3,E65=0),G65=2),J65,"")</f>
      </c>
      <c r="AR65" s="111">
        <f>IF(AND(OR(E65=3,E65=0),G65=3),J65,"")</f>
      </c>
    </row>
    <row customHeight="true" ht="19" r="66">
      <c r="A66" s="86" t="str">
        <v>かちこちストレッチ（菲柱体前屈）</v>
      </c>
      <c r="B66" s="86" t="str"/>
      <c r="C66" s="86" t="str"/>
      <c r="D66" s="116">
        <f>IF(路线!B4="计算",持有情况!BG36,持有情况!BF34)-ROW()*1e-05</f>
      </c>
      <c r="E66" s="116">
        <v>2</v>
      </c>
      <c r="F66" s="117">
        <v>0</v>
      </c>
      <c r="G66" s="116">
        <v>3</v>
      </c>
      <c r="H66" s="117">
        <v>0</v>
      </c>
      <c r="I66" s="1" t="str"/>
      <c r="J66" s="116">
        <f>IF(路线!B4="计算",INT((6.4/100)*路线!B13+8*路线!B33+13*路线!B21+30+持有情况!BG33),INT((6.4/100)*路线!B13+8*路线!B33+13*路线!B21+30))-ROW()*1e-05</f>
      </c>
      <c r="K66" s="1" t="str"/>
      <c r="L66" s="111">
        <f>IF(AND(OR(E66=1,E66=0),G66=1),D66,"")</f>
      </c>
      <c r="M66" s="111">
        <f>IF(AND(OR(E66=2,E66=0),G66=1),D66,"")</f>
      </c>
      <c r="N66" s="111">
        <f>IF(AND(OR(E66=3,E66=0),G66=1),D66,"")</f>
      </c>
      <c r="O66" s="111">
        <f>IF(AND(OR(E66=1,E66=0),G66=2),D66,"")</f>
      </c>
      <c r="P66" s="111">
        <f>IF(AND(OR(E66=2,E66=0),G66=2),D66,"")</f>
      </c>
      <c r="Q66" s="111">
        <f>IF(AND(OR(E66=3,E66=0),G66=2),D66,"")</f>
      </c>
      <c r="R66" s="111">
        <f>IF(AND(OR(E66=1,E66=0),G66=3),D66,"")</f>
      </c>
      <c r="S66" s="111">
        <f>IF(AND(OR(E66=2,E66=0),G66=3),D66,"")</f>
      </c>
      <c r="T66" s="111">
        <f>IF(AND(OR(E66=3,E66=0),G66=3),D66,"")</f>
      </c>
      <c r="U66" s="1" t="str"/>
      <c r="V66" s="1" t="str"/>
      <c r="W66" s="1" t="str"/>
      <c r="X66" s="1" t="str"/>
      <c r="Y66" s="1" t="str"/>
      <c r="Z66" s="1" t="str"/>
      <c r="AA66" s="1" t="str"/>
      <c r="AB66" s="1" t="str"/>
      <c r="AC66" s="1" t="str"/>
      <c r="AD66" s="111">
        <f>IF(AND(OR(E66=1,E66=0),G66=1),J66,"")</f>
      </c>
      <c r="AE66" s="111">
        <f>IF(AND(OR(E66=1,E66=0),G66=2),J66,"")</f>
      </c>
      <c r="AF66" s="111">
        <f>IF(AND(OR(E66=1,E66=0),G66=3),J66,"")</f>
      </c>
      <c r="AG66" s="1" t="str"/>
      <c r="AH66" s="1" t="str"/>
      <c r="AI66" s="1" t="str"/>
      <c r="AJ66" s="111">
        <f>IF(AND(OR(E66=2,E66=0),G66=1),J66,"")</f>
      </c>
      <c r="AK66" s="111">
        <f>IF(AND(OR(E66=2,E66=0),G66=2),J66,"")</f>
      </c>
      <c r="AL66" s="111">
        <f>IF(AND(OR(E66=2,E66=0),G66=3),J66,"")</f>
      </c>
      <c r="AM66" s="1" t="str"/>
      <c r="AN66" s="1" t="str"/>
      <c r="AO66" s="1" t="str"/>
      <c r="AP66" s="111">
        <f>IF(AND(OR(E66=3,E66=0),G66=1),J66,"")</f>
      </c>
      <c r="AQ66" s="111">
        <f>IF(AND(OR(E66=3,E66=0),G66=2),J66,"")</f>
      </c>
      <c r="AR66" s="111">
        <f>IF(AND(OR(E66=3,E66=0),G66=3),J66,"")</f>
      </c>
    </row>
    <row customHeight="true" ht="19" r="67">
      <c r="A67" s="99" t="str">
        <v>キラキラして綺麗～っ！（光夜）</v>
      </c>
      <c r="B67" s="99" t="str"/>
      <c r="C67" s="99" t="str"/>
      <c r="D67" s="116">
        <f>持有情况!R76-ROW()*1e-05</f>
      </c>
      <c r="E67" s="116">
        <v>1</v>
      </c>
      <c r="F67" s="117">
        <v>0</v>
      </c>
      <c r="G67" s="116">
        <v>2</v>
      </c>
      <c r="H67" s="116">
        <v>1</v>
      </c>
      <c r="I67" s="111" t="str">
        <v>光夜</v>
      </c>
      <c r="J67" s="116">
        <f>IF(路线!C6="计算",INT((8.5/100)*路线!B13+11*路线!B33+17*路线!B21+22+40+20)-ROW()*1e-05,INT((8.5/100)*路线!B13+11*路线!B33+17*路线!B21+22+40)-ROW()*1e-05)</f>
      </c>
      <c r="K67" s="1" t="str"/>
      <c r="L67" s="111">
        <f>IF(AND(OR(E67=1,E67=0),G67=1),D67,"")</f>
      </c>
      <c r="M67" s="111">
        <f>IF(AND(OR(E67=2,E67=0),G67=1),D67,"")</f>
      </c>
      <c r="N67" s="111">
        <f>IF(AND(OR(E67=3,E67=0),G67=1),D67,"")</f>
      </c>
      <c r="O67" s="111">
        <f>IF(AND(OR(E67=1,E67=0),G67=2),D67,"")</f>
      </c>
      <c r="P67" s="111">
        <f>IF(AND(OR(E67=2,E67=0),G67=2),D67,"")</f>
      </c>
      <c r="Q67" s="111">
        <f>IF(AND(OR(E67=3,E67=0),G67=2),D67,"")</f>
      </c>
      <c r="R67" s="111">
        <f>IF(AND(OR(E67=1,E67=0),G67=3),D67,"")</f>
      </c>
      <c r="S67" s="111">
        <f>IF(AND(OR(E67=2,E67=0),G67=3),D67,"")</f>
      </c>
      <c r="T67" s="111">
        <f>IF(AND(OR(E67=3,E67=0),G67=3),D67,"")</f>
      </c>
      <c r="U67" s="1" t="str"/>
      <c r="V67" s="1" t="str"/>
      <c r="W67" s="1" t="str"/>
      <c r="X67" s="1" t="str"/>
      <c r="Y67" s="1" t="str"/>
      <c r="Z67" s="1" t="str"/>
      <c r="AA67" s="1" t="str"/>
      <c r="AB67" s="1" t="str"/>
      <c r="AC67" s="1" t="str"/>
      <c r="AD67" s="111">
        <f>IF(AND(OR(E67=1,E67=0),G67=1),J67,"")</f>
      </c>
      <c r="AE67" s="111">
        <f>IF(AND(OR(E67=1,E67=0),G67=2),J67,"")</f>
      </c>
      <c r="AF67" s="111">
        <f>IF(AND(OR(E67=1,E67=0),G67=3),J67,"")</f>
      </c>
      <c r="AG67" s="1" t="str"/>
      <c r="AH67" s="1" t="str"/>
      <c r="AI67" s="1" t="str"/>
      <c r="AJ67" s="111">
        <f>IF(AND(OR(E67=2,E67=0),G67=1),J67,"")</f>
      </c>
      <c r="AK67" s="111">
        <f>IF(AND(OR(E67=2,E67=0),G67=2),J67,"")</f>
      </c>
      <c r="AL67" s="111">
        <f>IF(AND(OR(E67=2,E67=0),G67=3),J67,"")</f>
      </c>
      <c r="AM67" s="1" t="str"/>
      <c r="AN67" s="1" t="str"/>
      <c r="AO67" s="1" t="str"/>
      <c r="AP67" s="111">
        <f>IF(AND(OR(E67=3,E67=0),G67=1),J67,"")</f>
      </c>
      <c r="AQ67" s="111">
        <f>IF(AND(OR(E67=3,E67=0),G67=2),J67,"")</f>
      </c>
      <c r="AR67" s="111">
        <f>IF(AND(OR(E67=3,E67=0),G67=3),J67,"")</f>
      </c>
    </row>
    <row customHeight="true" ht="19" r="68">
      <c r="A68" s="99" t="str">
        <v>カロリー/2でハッピー×2（包子）</v>
      </c>
      <c r="B68" s="99" t="str"/>
      <c r="C68" s="99" t="str"/>
      <c r="D68" s="116">
        <f>持有情况!AV82-ROW()*1e-05</f>
      </c>
      <c r="E68" s="117">
        <v>0</v>
      </c>
      <c r="F68" s="117">
        <v>0</v>
      </c>
      <c r="G68" s="116">
        <v>2</v>
      </c>
      <c r="H68" s="117">
        <v>0</v>
      </c>
      <c r="I68" s="1" t="str"/>
      <c r="J68" s="116">
        <f>INT(45+3*(路线!B28+路线!B29)+11*路线!B34+13*路线!B21+30)-ROW()*1e-05</f>
      </c>
      <c r="K68" s="1" t="str"/>
      <c r="L68" s="111">
        <f>IF(AND(OR(E68=1,E68=0),G68=1),D68,"")</f>
      </c>
      <c r="M68" s="111">
        <f>IF(AND(OR(E68=2,E68=0),G68=1),D68,"")</f>
      </c>
      <c r="N68" s="111">
        <f>IF(AND(OR(E68=3,E68=0),G68=1),D68,"")</f>
      </c>
      <c r="O68" s="111">
        <f>IF(AND(OR(E68=1,E68=0),G68=2),D68,"")</f>
      </c>
      <c r="P68" s="111">
        <f>IF(AND(OR(E68=2,E68=0),G68=2),D68,"")</f>
      </c>
      <c r="Q68" s="111">
        <f>IF(AND(OR(E68=3,E68=0),G68=2),D68,"")</f>
      </c>
      <c r="R68" s="111">
        <f>IF(AND(OR(E68=1,E68=0),G68=3),D68,"")</f>
      </c>
      <c r="S68" s="111">
        <f>IF(AND(OR(E68=2,E68=0),G68=3),D68,"")</f>
      </c>
      <c r="T68" s="111">
        <f>IF(AND(OR(E68=3,E68=0),G68=3),D68,"")</f>
      </c>
      <c r="U68" s="1" t="str"/>
      <c r="V68" s="1" t="str"/>
      <c r="W68" s="1" t="str"/>
      <c r="X68" s="1" t="str"/>
      <c r="Y68" s="1" t="str"/>
      <c r="Z68" s="1" t="str"/>
      <c r="AA68" s="1" t="str"/>
      <c r="AB68" s="1" t="str"/>
      <c r="AC68" s="1" t="str"/>
      <c r="AD68" s="111">
        <f>IF(AND(OR(E68=1,E68=0),G68=1),J68,"")</f>
      </c>
      <c r="AE68" s="111">
        <f>IF(AND(OR(E68=1,E68=0),G68=2),J68,"")</f>
      </c>
      <c r="AF68" s="111">
        <f>IF(AND(OR(E68=1,E68=0),G68=3),J68,"")</f>
      </c>
      <c r="AG68" s="1" t="str"/>
      <c r="AH68" s="1" t="str"/>
      <c r="AI68" s="1" t="str"/>
      <c r="AJ68" s="111">
        <f>IF(AND(OR(E68=2,E68=0),G68=1),J68,"")</f>
      </c>
      <c r="AK68" s="111">
        <f>IF(AND(OR(E68=2,E68=0),G68=2),J68,"")</f>
      </c>
      <c r="AL68" s="111">
        <f>IF(AND(OR(E68=2,E68=0),G68=3),J68,"")</f>
      </c>
      <c r="AM68" s="1" t="str"/>
      <c r="AN68" s="1" t="str"/>
      <c r="AO68" s="1" t="str"/>
      <c r="AP68" s="111">
        <f>IF(AND(OR(E68=3,E68=0),G68=1),J68,"")</f>
      </c>
      <c r="AQ68" s="111">
        <f>IF(AND(OR(E68=3,E68=0),G68=2),J68,"")</f>
      </c>
      <c r="AR68" s="111">
        <f>IF(AND(OR(E68=3,E68=0),G68=3),J68,"")</f>
      </c>
    </row>
    <row customHeight="true" ht="19" r="69">
      <c r="A69" s="86" t="str">
        <v>サンマ、パタパタ（千奈做饭）</v>
      </c>
      <c r="B69" s="86" t="str"/>
      <c r="C69" s="86" t="str"/>
      <c r="D69" s="116">
        <f>持有情况!BF58-ROW()*1e-05</f>
      </c>
      <c r="E69" s="117">
        <v>0</v>
      </c>
      <c r="F69" s="117">
        <v>0</v>
      </c>
      <c r="G69" s="116">
        <v>3</v>
      </c>
      <c r="H69" s="116">
        <v>1</v>
      </c>
      <c r="I69" s="111" t="str">
        <v>千奈做饭</v>
      </c>
      <c r="J69" s="116">
        <f>IF(路线!C6="计算",INT(45+3*(路线!B28+路线!B29)+13*路线!B21+30+20)-ROW()*1e-05,INT(45+3*(路线!B28+路线!B29)+13*路线!B21+30)-ROW()*1e-05)</f>
      </c>
      <c r="K69" s="1" t="str"/>
      <c r="L69" s="111">
        <f>IF(AND(OR(E69=1,E69=0),G69=1),D69,"")</f>
      </c>
      <c r="M69" s="111">
        <f>IF(AND(OR(E69=2,E69=0),G69=1),D69,"")</f>
      </c>
      <c r="N69" s="111">
        <f>IF(AND(OR(E69=3,E69=0),G69=1),D69,"")</f>
      </c>
      <c r="O69" s="111">
        <f>IF(AND(OR(E69=1,E69=0),G69=2),D69,"")</f>
      </c>
      <c r="P69" s="111">
        <f>IF(AND(OR(E69=2,E69=0),G69=2),D69,"")</f>
      </c>
      <c r="Q69" s="111">
        <f>IF(AND(OR(E69=3,E69=0),G69=2),D69,"")</f>
      </c>
      <c r="R69" s="111">
        <f>IF(AND(OR(E69=1,E69=0),G69=3),D69,"")</f>
      </c>
      <c r="S69" s="111">
        <f>IF(AND(OR(E69=2,E69=0),G69=3),D69,"")</f>
      </c>
      <c r="T69" s="111">
        <f>IF(AND(OR(E69=3,E69=0),G69=3),D69,"")</f>
      </c>
      <c r="U69" s="1" t="str"/>
      <c r="V69" s="1" t="str"/>
      <c r="W69" s="1" t="str"/>
      <c r="X69" s="1" t="str"/>
      <c r="Y69" s="1" t="str"/>
      <c r="Z69" s="1" t="str"/>
      <c r="AA69" s="1" t="str"/>
      <c r="AB69" s="1" t="str"/>
      <c r="AC69" s="1" t="str"/>
      <c r="AD69" s="111">
        <f>IF(AND(OR(E69=1,E69=0),G69=1),J69,"")</f>
      </c>
      <c r="AE69" s="111">
        <f>IF(AND(OR(E69=1,E69=0),G69=2),J69,"")</f>
      </c>
      <c r="AF69" s="111">
        <f>IF(AND(OR(E69=1,E69=0),G69=3),J69,"")</f>
      </c>
      <c r="AG69" s="1" t="str"/>
      <c r="AH69" s="1" t="str"/>
      <c r="AI69" s="1" t="str"/>
      <c r="AJ69" s="111">
        <f>IF(AND(OR(E69=2,E69=0),G69=1),J69,"")</f>
      </c>
      <c r="AK69" s="111">
        <f>IF(AND(OR(E69=2,E69=0),G69=2),J69,"")</f>
      </c>
      <c r="AL69" s="111">
        <f>IF(AND(OR(E69=2,E69=0),G69=3),J69,"")</f>
      </c>
      <c r="AM69" s="1" t="str"/>
      <c r="AN69" s="1" t="str"/>
      <c r="AO69" s="1" t="str"/>
      <c r="AP69" s="111">
        <f>IF(AND(OR(E69=3,E69=0),G69=1),J69,"")</f>
      </c>
      <c r="AQ69" s="111">
        <f>IF(AND(OR(E69=3,E69=0),G69=2),J69,"")</f>
      </c>
      <c r="AR69" s="111">
        <f>IF(AND(OR(E69=3,E69=0),G69=3),J69,"")</f>
      </c>
    </row>
    <row customHeight="true" ht="19" r="70">
      <c r="A70" s="86" t="str">
        <v>いつか、きっと花開く（sr黄睡）</v>
      </c>
      <c r="B70" s="86" t="str"/>
      <c r="C70" s="86" t="str"/>
      <c r="D70" s="116">
        <f>持有情况!BF4-ROW()*1e-05</f>
      </c>
      <c r="E70" s="117">
        <v>0</v>
      </c>
      <c r="F70" s="117">
        <v>0</v>
      </c>
      <c r="G70" s="116">
        <v>3</v>
      </c>
      <c r="H70" s="117">
        <v>0</v>
      </c>
      <c r="I70" s="1" t="str"/>
      <c r="J70" s="116">
        <f>INT(45+17*路线!B32+3*(路线!B28+路线!B29)+30)-ROW()*1e-05</f>
      </c>
      <c r="K70" s="1" t="str"/>
      <c r="L70" s="111">
        <f>IF(AND(OR(E70=1,E70=0),G70=1),D70,"")</f>
      </c>
      <c r="M70" s="111">
        <f>IF(AND(OR(E70=2,E70=0),G70=1),D70,"")</f>
      </c>
      <c r="N70" s="111">
        <f>IF(AND(OR(E70=3,E70=0),G70=1),D70,"")</f>
      </c>
      <c r="O70" s="111">
        <f>IF(AND(OR(E70=1,E70=0),G70=2),D70,"")</f>
      </c>
      <c r="P70" s="111">
        <f>IF(AND(OR(E70=2,E70=0),G70=2),D70,"")</f>
      </c>
      <c r="Q70" s="111">
        <f>IF(AND(OR(E70=3,E70=0),G70=2),D70,"")</f>
      </c>
      <c r="R70" s="111">
        <f>IF(AND(OR(E70=1,E70=0),G70=3),D70,"")</f>
      </c>
      <c r="S70" s="111">
        <f>IF(AND(OR(E70=2,E70=0),G70=3),D70,"")</f>
      </c>
      <c r="T70" s="111">
        <f>IF(AND(OR(E70=3,E70=0),G70=3),D70,"")</f>
      </c>
      <c r="U70" s="1" t="str"/>
      <c r="V70" s="1" t="str"/>
      <c r="W70" s="1" t="str"/>
      <c r="X70" s="1" t="str"/>
      <c r="Y70" s="1" t="str"/>
      <c r="Z70" s="1" t="str"/>
      <c r="AA70" s="1" t="str"/>
      <c r="AB70" s="1" t="str"/>
      <c r="AC70" s="1" t="str"/>
      <c r="AD70" s="111">
        <f>IF(AND(OR(E70=1,E70=0),G70=1),J70,"")</f>
      </c>
      <c r="AE70" s="111">
        <f>IF(AND(OR(E70=1,E70=0),G70=2),J70,"")</f>
      </c>
      <c r="AF70" s="111">
        <f>IF(AND(OR(E70=1,E70=0),G70=3),J70,"")</f>
      </c>
      <c r="AG70" s="1" t="str"/>
      <c r="AH70" s="1" t="str"/>
      <c r="AI70" s="1" t="str"/>
      <c r="AJ70" s="111">
        <f>IF(AND(OR(E70=2,E70=0),G70=1),J70,"")</f>
      </c>
      <c r="AK70" s="111">
        <f>IF(AND(OR(E70=2,E70=0),G70=2),J70,"")</f>
      </c>
      <c r="AL70" s="111">
        <f>IF(AND(OR(E70=2,E70=0),G70=3),J70,"")</f>
      </c>
      <c r="AM70" s="1" t="str"/>
      <c r="AN70" s="1" t="str"/>
      <c r="AO70" s="1" t="str"/>
      <c r="AP70" s="111">
        <f>IF(AND(OR(E70=3,E70=0),G70=1),J70,"")</f>
      </c>
      <c r="AQ70" s="111">
        <f>IF(AND(OR(E70=3,E70=0),G70=2),J70,"")</f>
      </c>
      <c r="AR70" s="111">
        <f>IF(AND(OR(E70=3,E70=0),G70=3),J70,"")</f>
      </c>
    </row>
    <row customHeight="true" ht="19" r="71">
      <c r="A71" s="75" t="str">
        <v>こいつらめんどくさー（红吵架）</v>
      </c>
      <c r="B71" s="75" t="str"/>
      <c r="C71" s="75" t="str"/>
      <c r="D71" s="116">
        <f>持有情况!H28-ROW()*1e-05</f>
      </c>
      <c r="E71" s="116">
        <v>1</v>
      </c>
      <c r="F71" s="117">
        <v>0</v>
      </c>
      <c r="G71" s="116">
        <v>1</v>
      </c>
      <c r="H71" s="116">
        <v>1</v>
      </c>
      <c r="I71" s="111" t="str">
        <v>红吵架</v>
      </c>
      <c r="J71" s="116">
        <f>IF(路线!C6="计算",INT(路线!B13*(8.5/100)+7*路线!B29+13*路线!B21+40+20)-ROW()*1e-05,INT(路线!B13*(8.5/100)+7*路线!B29+13*路线!B21+40)-ROW()*1e-05)</f>
      </c>
      <c r="K71" s="1" t="str"/>
      <c r="L71" s="111">
        <f>IF(AND(OR(E71=1,E71=0),G71=1),D71,"")</f>
      </c>
      <c r="M71" s="111">
        <f>IF(AND(OR(E71=2,E71=0),G71=1),D71,"")</f>
      </c>
      <c r="N71" s="111">
        <f>IF(AND(OR(E71=3,E71=0),G71=1),D71,"")</f>
      </c>
      <c r="O71" s="111">
        <f>IF(AND(OR(E71=1,E71=0),G71=2),D71,"")</f>
      </c>
      <c r="P71" s="111">
        <f>IF(AND(OR(E71=2,E71=0),G71=2),D71,"")</f>
      </c>
      <c r="Q71" s="111">
        <f>IF(AND(OR(E71=3,E71=0),G71=2),D71,"")</f>
      </c>
      <c r="R71" s="111">
        <f>IF(AND(OR(E71=1,E71=0),G71=3),D71,"")</f>
      </c>
      <c r="S71" s="111">
        <f>IF(AND(OR(E71=2,E71=0),G71=3),D71,"")</f>
      </c>
      <c r="T71" s="111">
        <f>IF(AND(OR(E71=3,E71=0),G71=3),D71,"")</f>
      </c>
      <c r="U71" s="1" t="str"/>
      <c r="V71" s="1" t="str"/>
      <c r="W71" s="1" t="str"/>
      <c r="X71" s="1" t="str"/>
      <c r="Y71" s="1" t="str"/>
      <c r="Z71" s="1" t="str"/>
      <c r="AA71" s="1" t="str"/>
      <c r="AB71" s="1" t="str"/>
      <c r="AC71" s="1" t="str"/>
      <c r="AD71" s="111">
        <f>IF(AND(OR(E71=1,E71=0),G71=1),J71,"")</f>
      </c>
      <c r="AE71" s="111">
        <f>IF(AND(OR(E71=1,E71=0),G71=2),J71,"")</f>
      </c>
      <c r="AF71" s="111">
        <f>IF(AND(OR(E71=1,E71=0),G71=3),J71,"")</f>
      </c>
      <c r="AG71" s="1" t="str"/>
      <c r="AH71" s="1" t="str"/>
      <c r="AI71" s="1" t="str"/>
      <c r="AJ71" s="111">
        <f>IF(AND(OR(E71=2,E71=0),G71=1),J71,"")</f>
      </c>
      <c r="AK71" s="111">
        <f>IF(AND(OR(E71=2,E71=0),G71=2),J71,"")</f>
      </c>
      <c r="AL71" s="111">
        <f>IF(AND(OR(E71=2,E71=0),G71=3),J71,"")</f>
      </c>
      <c r="AM71" s="1" t="str"/>
      <c r="AN71" s="1" t="str"/>
      <c r="AO71" s="1" t="str"/>
      <c r="AP71" s="111">
        <f>IF(AND(OR(E71=3,E71=0),G71=1),J71,"")</f>
      </c>
      <c r="AQ71" s="111">
        <f>IF(AND(OR(E71=3,E71=0),G71=2),J71,"")</f>
      </c>
      <c r="AR71" s="111">
        <f>IF(AND(OR(E71=3,E71=0),G71=3),J71,"")</f>
      </c>
    </row>
    <row customHeight="true" ht="19" r="72">
      <c r="A72" s="99" t="str">
        <v>わたしたち、やればできる（蓝厨房）</v>
      </c>
      <c r="B72" s="99" t="str"/>
      <c r="C72" s="99" t="str"/>
      <c r="D72" s="116">
        <f>持有情况!R16-ROW()*1e-05</f>
      </c>
      <c r="E72" s="116">
        <v>2</v>
      </c>
      <c r="F72" s="117">
        <v>0</v>
      </c>
      <c r="G72" s="116">
        <v>2</v>
      </c>
      <c r="H72" s="116">
        <v>1</v>
      </c>
      <c r="I72" s="111" t="str">
        <v>蓝厨房</v>
      </c>
      <c r="J72" s="116">
        <f>IF(路线!C6="计算",INT(路线!B13*(8.5/100)+7*路线!B29+13*路线!B21+40+20)-ROW()*1e-05,INT(路线!B13*(8.5/100)+7*路线!B29+13*路线!B21+40)-ROW()*1e-05)</f>
      </c>
      <c r="K72" s="1" t="str"/>
      <c r="L72" s="111">
        <f>IF(AND(OR(E72=1,E72=0),G72=1),D72,"")</f>
      </c>
      <c r="M72" s="111">
        <f>IF(AND(OR(E72=2,E72=0),G72=1),D72,"")</f>
      </c>
      <c r="N72" s="111">
        <f>IF(AND(OR(E72=3,E72=0),G72=1),D72,"")</f>
      </c>
      <c r="O72" s="111">
        <f>IF(AND(OR(E72=1,E72=0),G72=2),D72,"")</f>
      </c>
      <c r="P72" s="111">
        <f>IF(AND(OR(E72=2,E72=0),G72=2),D72,"")</f>
      </c>
      <c r="Q72" s="111">
        <f>IF(AND(OR(E72=3,E72=0),G72=2),D72,"")</f>
      </c>
      <c r="R72" s="111">
        <f>IF(AND(OR(E72=1,E72=0),G72=3),D72,"")</f>
      </c>
      <c r="S72" s="111">
        <f>IF(AND(OR(E72=2,E72=0),G72=3),D72,"")</f>
      </c>
      <c r="T72" s="111">
        <f>IF(AND(OR(E72=3,E72=0),G72=3),D72,"")</f>
      </c>
      <c r="U72" s="1" t="str"/>
      <c r="V72" s="1" t="str"/>
      <c r="W72" s="1" t="str"/>
      <c r="X72" s="1" t="str"/>
      <c r="Y72" s="1" t="str"/>
      <c r="Z72" s="1" t="str"/>
      <c r="AA72" s="1" t="str"/>
      <c r="AB72" s="1" t="str"/>
      <c r="AC72" s="1" t="str"/>
      <c r="AD72" s="111">
        <f>IF(AND(OR(E72=1,E72=0),G72=1),J72,"")</f>
      </c>
      <c r="AE72" s="111">
        <f>IF(AND(OR(E72=1,E72=0),G72=2),J72,"")</f>
      </c>
      <c r="AF72" s="111">
        <f>IF(AND(OR(E72=1,E72=0),G72=3),J72,"")</f>
      </c>
      <c r="AG72" s="1" t="str"/>
      <c r="AH72" s="1" t="str"/>
      <c r="AI72" s="1" t="str"/>
      <c r="AJ72" s="111">
        <f>IF(AND(OR(E72=2,E72=0),G72=1),J72,"")</f>
      </c>
      <c r="AK72" s="111">
        <f>IF(AND(OR(E72=2,E72=0),G72=2),J72,"")</f>
      </c>
      <c r="AL72" s="111">
        <f>IF(AND(OR(E72=2,E72=0),G72=3),J72,"")</f>
      </c>
      <c r="AM72" s="1" t="str"/>
      <c r="AN72" s="1" t="str"/>
      <c r="AO72" s="1" t="str"/>
      <c r="AP72" s="111">
        <f>IF(AND(OR(E72=3,E72=0),G72=1),J72,"")</f>
      </c>
      <c r="AQ72" s="111">
        <f>IF(AND(OR(E72=3,E72=0),G72=2),J72,"")</f>
      </c>
      <c r="AR72" s="111">
        <f>IF(AND(OR(E72=3,E72=0),G72=3),J72,"")</f>
      </c>
    </row>
    <row customHeight="true" ht="19" r="73">
      <c r="A73" s="86" t="str">
        <v>さみだれ（公交车站）</v>
      </c>
      <c r="B73" s="86" t="str"/>
      <c r="C73" s="86" t="str"/>
      <c r="D73" s="116">
        <f>持有情况!AB82-ROW()*1e-05</f>
      </c>
      <c r="E73" s="116">
        <v>3</v>
      </c>
      <c r="F73" s="117">
        <v>0</v>
      </c>
      <c r="G73" s="116">
        <v>3</v>
      </c>
      <c r="H73" s="116">
        <v>1</v>
      </c>
      <c r="I73" s="111" t="str">
        <v>公交车站</v>
      </c>
      <c r="J73" s="116">
        <f>IF(路线!C6="计算",INT(路线!B13*(8.5/100)+7*路线!B29+13*路线!B21+40+20)-ROW()*1e-05,INT(路线!B13*(8.5/100)+7*路线!B29+13*路线!B21+40)-ROW()*1e-05)</f>
      </c>
      <c r="K73" s="1" t="str"/>
      <c r="L73" s="111">
        <f>IF(AND(OR(E73=1,E73=0),G73=1),D73,"")</f>
      </c>
      <c r="M73" s="111">
        <f>IF(AND(OR(E73=2,E73=0),G73=1),D73,"")</f>
      </c>
      <c r="N73" s="111">
        <f>IF(AND(OR(E73=3,E73=0),G73=1),D73,"")</f>
      </c>
      <c r="O73" s="111">
        <f>IF(AND(OR(E73=1,E73=0),G73=2),D73,"")</f>
      </c>
      <c r="P73" s="111">
        <f>IF(AND(OR(E73=2,E73=0),G73=2),D73,"")</f>
      </c>
      <c r="Q73" s="111">
        <f>IF(AND(OR(E73=3,E73=0),G73=2),D73,"")</f>
      </c>
      <c r="R73" s="111">
        <f>IF(AND(OR(E73=1,E73=0),G73=3),D73,"")</f>
      </c>
      <c r="S73" s="111">
        <f>IF(AND(OR(E73=2,E73=0),G73=3),D73,"")</f>
      </c>
      <c r="T73" s="111">
        <f>IF(AND(OR(E73=3,E73=0),G73=3),D73,"")</f>
      </c>
      <c r="U73" s="1" t="str"/>
      <c r="V73" s="1" t="str"/>
      <c r="W73" s="1" t="str"/>
      <c r="X73" s="1" t="str"/>
      <c r="Y73" s="1" t="str"/>
      <c r="Z73" s="1" t="str"/>
      <c r="AA73" s="1" t="str"/>
      <c r="AB73" s="1" t="str"/>
      <c r="AC73" s="1" t="str"/>
      <c r="AD73" s="111">
        <f>IF(AND(OR(E73=1,E73=0),G73=1),J73,"")</f>
      </c>
      <c r="AE73" s="111">
        <f>IF(AND(OR(E73=1,E73=0),G73=2),J73,"")</f>
      </c>
      <c r="AF73" s="111">
        <f>IF(AND(OR(E73=1,E73=0),G73=3),J73,"")</f>
      </c>
      <c r="AG73" s="1" t="str"/>
      <c r="AH73" s="1" t="str"/>
      <c r="AI73" s="1" t="str"/>
      <c r="AJ73" s="111">
        <f>IF(AND(OR(E73=2,E73=0),G73=1),J73,"")</f>
      </c>
      <c r="AK73" s="111">
        <f>IF(AND(OR(E73=2,E73=0),G73=2),J73,"")</f>
      </c>
      <c r="AL73" s="111">
        <f>IF(AND(OR(E73=2,E73=0),G73=3),J73,"")</f>
      </c>
      <c r="AM73" s="1" t="str"/>
      <c r="AN73" s="1" t="str"/>
      <c r="AO73" s="1" t="str"/>
      <c r="AP73" s="111">
        <f>IF(AND(OR(E73=3,E73=0),G73=1),J73,"")</f>
      </c>
      <c r="AQ73" s="111">
        <f>IF(AND(OR(E73=3,E73=0),G73=2),J73,"")</f>
      </c>
      <c r="AR73" s="111">
        <f>IF(AND(OR(E73=3,E73=0),G73=3),J73,"")</f>
      </c>
    </row>
    <row customHeight="true" ht="19" r="74">
      <c r="A74" s="99" t="str">
        <v>ぐぬぬぬぬ…………！（蓝50）</v>
      </c>
      <c r="B74" s="99" t="str"/>
      <c r="C74" s="99" t="str"/>
      <c r="D74" s="116">
        <f>持有情况!R28-ROW()*1e-05</f>
      </c>
      <c r="E74" s="117">
        <v>0</v>
      </c>
      <c r="F74" s="117">
        <v>0</v>
      </c>
      <c r="G74" s="116">
        <v>2</v>
      </c>
      <c r="H74" s="116">
        <v>1</v>
      </c>
      <c r="I74" s="111" t="str">
        <v>蓝50</v>
      </c>
      <c r="J74" s="116">
        <f>INT((8.5/100)*路线!B13+17*路线!B34+3*路线!B24+40)-ROW()*1e-05</f>
      </c>
      <c r="K74" s="1" t="str"/>
      <c r="L74" s="111">
        <f>IF(AND(OR(E74=1,E74=0),G74=1),D74,"")</f>
      </c>
      <c r="M74" s="111">
        <f>IF(AND(OR(E74=2,E74=0),G74=1),D74,"")</f>
      </c>
      <c r="N74" s="111">
        <f>IF(AND(OR(E74=3,E74=0),G74=1),D74,"")</f>
      </c>
      <c r="O74" s="111">
        <f>IF(AND(OR(E74=1,E74=0),G74=2),D74,"")</f>
      </c>
      <c r="P74" s="111">
        <f>IF(AND(OR(E74=2,E74=0),G74=2),D74,"")</f>
      </c>
      <c r="Q74" s="111">
        <f>IF(AND(OR(E74=3,E74=0),G74=2),D74,"")</f>
      </c>
      <c r="R74" s="111">
        <f>IF(AND(OR(E74=1,E74=0),G74=3),D74,"")</f>
      </c>
      <c r="S74" s="111">
        <f>IF(AND(OR(E74=2,E74=0),G74=3),D74,"")</f>
      </c>
      <c r="T74" s="111">
        <f>IF(AND(OR(E74=3,E74=0),G74=3),D74,"")</f>
      </c>
      <c r="U74" s="1" t="str"/>
      <c r="V74" s="1" t="str"/>
      <c r="W74" s="1" t="str"/>
      <c r="X74" s="1" t="str"/>
      <c r="Y74" s="1" t="str"/>
      <c r="Z74" s="1" t="str"/>
      <c r="AA74" s="1" t="str"/>
      <c r="AB74" s="1" t="str"/>
      <c r="AC74" s="1" t="str"/>
      <c r="AD74" s="111">
        <f>IF(AND(OR(E74=1,E74=0),G74=1),J74,"")</f>
      </c>
      <c r="AE74" s="111">
        <f>IF(AND(OR(E74=1,E74=0),G74=2),J74,"")</f>
      </c>
      <c r="AF74" s="111">
        <f>IF(AND(OR(E74=1,E74=0),G74=3),J74,"")</f>
      </c>
      <c r="AG74" s="1" t="str"/>
      <c r="AH74" s="1" t="str"/>
      <c r="AI74" s="1" t="str"/>
      <c r="AJ74" s="111">
        <f>IF(AND(OR(E74=2,E74=0),G74=1),J74,"")</f>
      </c>
      <c r="AK74" s="111">
        <f>IF(AND(OR(E74=2,E74=0),G74=2),J74,"")</f>
      </c>
      <c r="AL74" s="111">
        <f>IF(AND(OR(E74=2,E74=0),G74=3),J74,"")</f>
      </c>
      <c r="AM74" s="1" t="str"/>
      <c r="AN74" s="1" t="str"/>
      <c r="AO74" s="1" t="str"/>
      <c r="AP74" s="111">
        <f>IF(AND(OR(E74=3,E74=0),G74=1),J74,"")</f>
      </c>
      <c r="AQ74" s="111">
        <f>IF(AND(OR(E74=3,E74=0),G74=2),J74,"")</f>
      </c>
      <c r="AR74" s="111">
        <f>IF(AND(OR(E74=3,E74=0),G74=3),J74,"")</f>
      </c>
    </row>
    <row customHeight="true" ht="19" r="75">
      <c r="A75" s="86" t="str">
        <v>花火、やりませんか……？（花火）</v>
      </c>
      <c r="B75" s="86" t="str"/>
      <c r="C75" s="86" t="str"/>
      <c r="D75" s="116">
        <f>持有情况!AB52-ROW()*1e-05</f>
      </c>
      <c r="E75" s="116">
        <v>1</v>
      </c>
      <c r="F75" s="117">
        <v>0</v>
      </c>
      <c r="G75" s="116">
        <v>3</v>
      </c>
      <c r="H75" s="116">
        <v>1</v>
      </c>
      <c r="I75" s="111" t="str">
        <v>花火</v>
      </c>
      <c r="J75" s="116">
        <f>IF(路线!C6="计算",INT((8.5/100)*路线!B13+3*路线!B23+17*路线!B21+11*路线!B33+40+20)-ROW()*1e-05,INT((8.5/100)*路线!B13+3*路线!B23+17*路线!B21+11*路线!B33+40)-ROW()*1e-05)</f>
      </c>
      <c r="K75" s="1" t="str"/>
      <c r="L75" s="111">
        <f>IF(AND(OR(E75=1,E75=0),G75=1),D75,"")</f>
      </c>
      <c r="M75" s="111">
        <f>IF(AND(OR(E75=2,E75=0),G75=1),D75,"")</f>
      </c>
      <c r="N75" s="111">
        <f>IF(AND(OR(E75=3,E75=0),G75=1),D75,"")</f>
      </c>
      <c r="O75" s="111">
        <f>IF(AND(OR(E75=1,E75=0),G75=2),D75,"")</f>
      </c>
      <c r="P75" s="111">
        <f>IF(AND(OR(E75=2,E75=0),G75=2),D75,"")</f>
      </c>
      <c r="Q75" s="111">
        <f>IF(AND(OR(E75=3,E75=0),G75=2),D75,"")</f>
      </c>
      <c r="R75" s="111">
        <f>IF(AND(OR(E75=1,E75=0),G75=3),D75,"")</f>
      </c>
      <c r="S75" s="111">
        <f>IF(AND(OR(E75=2,E75=0),G75=3),D75,"")</f>
      </c>
      <c r="T75" s="111">
        <f>IF(AND(OR(E75=3,E75=0),G75=3),D75,"")</f>
      </c>
      <c r="U75" s="1" t="str"/>
      <c r="V75" s="1" t="str"/>
      <c r="W75" s="1" t="str"/>
      <c r="X75" s="1" t="str"/>
      <c r="Y75" s="1" t="str"/>
      <c r="Z75" s="1" t="str"/>
      <c r="AA75" s="1" t="str"/>
      <c r="AB75" s="1" t="str"/>
      <c r="AC75" s="1" t="str"/>
      <c r="AD75" s="111">
        <f>IF(AND(OR(E75=1,E75=0),G75=1),J75,"")</f>
      </c>
      <c r="AE75" s="111">
        <f>IF(AND(OR(E75=1,E75=0),G75=2),J75,"")</f>
      </c>
      <c r="AF75" s="111">
        <f>IF(AND(OR(E75=1,E75=0),G75=3),J75,"")</f>
      </c>
      <c r="AG75" s="1" t="str"/>
      <c r="AH75" s="1" t="str"/>
      <c r="AI75" s="1" t="str"/>
      <c r="AJ75" s="111">
        <f>IF(AND(OR(E75=2,E75=0),G75=1),J75,"")</f>
      </c>
      <c r="AK75" s="111">
        <f>IF(AND(OR(E75=2,E75=0),G75=2),J75,"")</f>
      </c>
      <c r="AL75" s="111">
        <f>IF(AND(OR(E75=2,E75=0),G75=3),J75,"")</f>
      </c>
      <c r="AM75" s="1" t="str"/>
      <c r="AN75" s="1" t="str"/>
      <c r="AO75" s="1" t="str"/>
      <c r="AP75" s="111">
        <f>IF(AND(OR(E75=3,E75=0),G75=1),J75,"")</f>
      </c>
      <c r="AQ75" s="111">
        <f>IF(AND(OR(E75=3,E75=0),G75=2),J75,"")</f>
      </c>
      <c r="AR75" s="111">
        <f>IF(AND(OR(E75=3,E75=0),G75=3),J75,"")</f>
      </c>
    </row>
    <row customHeight="true" ht="19" r="76">
      <c r="A76" s="75" t="str">
        <v>第五種接近遭遇（电风扇）</v>
      </c>
      <c r="B76" s="75" t="str"/>
      <c r="C76" s="75" t="str"/>
      <c r="D76" s="116">
        <f>IF(路线!B4="计算",持有情况!AM48,持有情况!AL46)-ROW()*1e-05</f>
      </c>
      <c r="E76" s="116">
        <v>1</v>
      </c>
      <c r="F76" s="117">
        <v>0</v>
      </c>
      <c r="G76" s="116">
        <v>1</v>
      </c>
      <c r="H76" s="117">
        <v>0</v>
      </c>
      <c r="I76" s="1" t="str"/>
      <c r="J76" s="116">
        <f>IF(路线!B4="计算",INT((6.4/100)*路线!B13+8*路线!B33+4*路线!B20+30+持有情况!AM45),INT((6.4/100)*路线!B13+8*路线!B33+4*路线!B20+30))-ROW()*1e-05</f>
      </c>
      <c r="K76" s="1" t="str"/>
      <c r="L76" s="111">
        <f>IF(AND(OR(E76=1,E76=0),G76=1),D76,"")</f>
      </c>
      <c r="M76" s="111">
        <f>IF(AND(OR(E76=2,E76=0),G76=1),D76,"")</f>
      </c>
      <c r="N76" s="111">
        <f>IF(AND(OR(E76=3,E76=0),G76=1),D76,"")</f>
      </c>
      <c r="O76" s="111">
        <f>IF(AND(OR(E76=1,E76=0),G76=2),D76,"")</f>
      </c>
      <c r="P76" s="111">
        <f>IF(AND(OR(E76=2,E76=0),G76=2),D76,"")</f>
      </c>
      <c r="Q76" s="111">
        <f>IF(AND(OR(E76=3,E76=0),G76=2),D76,"")</f>
      </c>
      <c r="R76" s="111">
        <f>IF(AND(OR(E76=1,E76=0),G76=3),D76,"")</f>
      </c>
      <c r="S76" s="111">
        <f>IF(AND(OR(E76=2,E76=0),G76=3),D76,"")</f>
      </c>
      <c r="T76" s="111">
        <f>IF(AND(OR(E76=3,E76=0),G76=3),D76,"")</f>
      </c>
      <c r="U76" s="1" t="str"/>
      <c r="V76" s="1" t="str"/>
      <c r="W76" s="1" t="str"/>
      <c r="X76" s="1" t="str"/>
      <c r="Y76" s="1" t="str"/>
      <c r="Z76" s="1" t="str"/>
      <c r="AA76" s="1" t="str"/>
      <c r="AB76" s="1" t="str"/>
      <c r="AC76" s="1" t="str"/>
      <c r="AD76" s="111">
        <f>IF(AND(OR(E76=1,E76=0),G76=1),J76,"")</f>
      </c>
      <c r="AE76" s="111">
        <f>IF(AND(OR(E76=1,E76=0),G76=2),J76,"")</f>
      </c>
      <c r="AF76" s="111">
        <f>IF(AND(OR(E76=1,E76=0),G76=3),J76,"")</f>
      </c>
      <c r="AG76" s="1" t="str"/>
      <c r="AH76" s="1" t="str"/>
      <c r="AI76" s="1" t="str"/>
      <c r="AJ76" s="111">
        <f>IF(AND(OR(E76=2,E76=0),G76=1),J76,"")</f>
      </c>
      <c r="AK76" s="111">
        <f>IF(AND(OR(E76=2,E76=0),G76=2),J76,"")</f>
      </c>
      <c r="AL76" s="111">
        <f>IF(AND(OR(E76=2,E76=0),G76=3),J76,"")</f>
      </c>
      <c r="AM76" s="1" t="str"/>
      <c r="AN76" s="1" t="str"/>
      <c r="AO76" s="1" t="str"/>
      <c r="AP76" s="111">
        <f>IF(AND(OR(E76=3,E76=0),G76=1),J76,"")</f>
      </c>
      <c r="AQ76" s="111">
        <f>IF(AND(OR(E76=3,E76=0),G76=2),J76,"")</f>
      </c>
      <c r="AR76" s="111">
        <f>IF(AND(OR(E76=3,E76=0),G76=3),J76,"")</f>
      </c>
    </row>
    <row customHeight="true" ht="19" r="77">
      <c r="A77" s="86" t="str">
        <v>思惑とガクガク（黄13）</v>
      </c>
      <c r="B77" s="86" t="str"/>
      <c r="C77" s="86" t="str"/>
      <c r="D77" s="116">
        <f>IF(路线!B4="计算",持有情况!BG12,持有情况!BF10)-ROW()*1e-05</f>
      </c>
      <c r="E77" s="117">
        <v>0</v>
      </c>
      <c r="F77" s="117">
        <v>0</v>
      </c>
      <c r="G77" s="116">
        <v>3</v>
      </c>
      <c r="H77" s="117">
        <v>0</v>
      </c>
      <c r="I77" s="1" t="str"/>
      <c r="J77" s="116">
        <f>INT(45+8*路线!B33+4*路线!B20+30)-ROW()*1e-05</f>
      </c>
      <c r="K77" s="1" t="str"/>
      <c r="L77" s="111">
        <f>IF(AND(OR(E77=1,E77=0),G77=1),D77,"")</f>
      </c>
      <c r="M77" s="111">
        <f>IF(AND(OR(E77=2,E77=0),G77=1),D77,"")</f>
      </c>
      <c r="N77" s="111">
        <f>IF(AND(OR(E77=3,E77=0),G77=1),D77,"")</f>
      </c>
      <c r="O77" s="111">
        <f>IF(AND(OR(E77=1,E77=0),G77=2),D77,"")</f>
      </c>
      <c r="P77" s="111">
        <f>IF(AND(OR(E77=2,E77=0),G77=2),D77,"")</f>
      </c>
      <c r="Q77" s="111">
        <f>IF(AND(OR(E77=3,E77=0),G77=2),D77,"")</f>
      </c>
      <c r="R77" s="111">
        <f>IF(AND(OR(E77=1,E77=0),G77=3),D77,"")</f>
      </c>
      <c r="S77" s="111">
        <f>IF(AND(OR(E77=2,E77=0),G77=3),D77,"")</f>
      </c>
      <c r="T77" s="111">
        <f>IF(AND(OR(E77=3,E77=0),G77=3),D77,"")</f>
      </c>
      <c r="U77" s="1" t="str"/>
      <c r="V77" s="1" t="str"/>
      <c r="W77" s="1" t="str"/>
      <c r="X77" s="1" t="str"/>
      <c r="Y77" s="1" t="str"/>
      <c r="Z77" s="1" t="str"/>
      <c r="AA77" s="1" t="str"/>
      <c r="AB77" s="1" t="str"/>
      <c r="AC77" s="1" t="str"/>
      <c r="AD77" s="111">
        <f>IF(AND(OR(E77=1,E77=0),G77=1),J77,"")</f>
      </c>
      <c r="AE77" s="111">
        <f>IF(AND(OR(E77=1,E77=0),G77=2),J77,"")</f>
      </c>
      <c r="AF77" s="111">
        <f>IF(AND(OR(E77=1,E77=0),G77=3),J77,"")</f>
      </c>
      <c r="AG77" s="1" t="str"/>
      <c r="AH77" s="1" t="str"/>
      <c r="AI77" s="1" t="str"/>
      <c r="AJ77" s="111">
        <f>IF(AND(OR(E77=2,E77=0),G77=1),J77,"")</f>
      </c>
      <c r="AK77" s="111">
        <f>IF(AND(OR(E77=2,E77=0),G77=2),J77,"")</f>
      </c>
      <c r="AL77" s="111">
        <f>IF(AND(OR(E77=2,E77=0),G77=3),J77,"")</f>
      </c>
      <c r="AM77" s="1" t="str"/>
      <c r="AN77" s="1" t="str"/>
      <c r="AO77" s="1" t="str"/>
      <c r="AP77" s="111">
        <f>IF(AND(OR(E77=3,E77=0),G77=1),J77,"")</f>
      </c>
      <c r="AQ77" s="111">
        <f>IF(AND(OR(E77=3,E77=0),G77=2),J77,"")</f>
      </c>
      <c r="AR77" s="111">
        <f>IF(AND(OR(E77=3,E77=0),G77=3),J77,"")</f>
      </c>
    </row>
    <row customHeight="true" ht="19" r="78">
      <c r="A78" s="99" t="str">
        <v>実食！例のSSD（蓝13）</v>
      </c>
      <c r="B78" s="99" t="str"/>
      <c r="C78" s="99" t="str"/>
      <c r="D78" s="116">
        <f>IF(路线!B4="计算",持有情况!AW6,持有情况!AV4)-ROW()*1e-05</f>
      </c>
      <c r="E78" s="117">
        <v>0</v>
      </c>
      <c r="F78" s="117">
        <v>0</v>
      </c>
      <c r="G78" s="116">
        <v>2</v>
      </c>
      <c r="H78" s="117">
        <v>0</v>
      </c>
      <c r="I78" s="1" t="str"/>
      <c r="J78" s="116">
        <f>INT(45+8*路线!B33+4*路线!B20+30)-ROW()*1e-05</f>
      </c>
      <c r="K78" s="1" t="str"/>
      <c r="L78" s="111">
        <f>IF(AND(OR(E78=1,E78=0),G78=1),D78,"")</f>
      </c>
      <c r="M78" s="111">
        <f>IF(AND(OR(E78=2,E78=0),G78=1),D78,"")</f>
      </c>
      <c r="N78" s="111">
        <f>IF(AND(OR(E78=3,E78=0),G78=1),D78,"")</f>
      </c>
      <c r="O78" s="111">
        <f>IF(AND(OR(E78=1,E78=0),G78=2),D78,"")</f>
      </c>
      <c r="P78" s="111">
        <f>IF(AND(OR(E78=2,E78=0),G78=2),D78,"")</f>
      </c>
      <c r="Q78" s="111">
        <f>IF(AND(OR(E78=3,E78=0),G78=2),D78,"")</f>
      </c>
      <c r="R78" s="111">
        <f>IF(AND(OR(E78=1,E78=0),G78=3),D78,"")</f>
      </c>
      <c r="S78" s="111">
        <f>IF(AND(OR(E78=2,E78=0),G78=3),D78,"")</f>
      </c>
      <c r="T78" s="111">
        <f>IF(AND(OR(E78=3,E78=0),G78=3),D78,"")</f>
      </c>
      <c r="U78" s="1" t="str"/>
      <c r="V78" s="1" t="str"/>
      <c r="W78" s="1" t="str"/>
      <c r="X78" s="1" t="str"/>
      <c r="Y78" s="1" t="str"/>
      <c r="Z78" s="1" t="str"/>
      <c r="AA78" s="1" t="str"/>
      <c r="AB78" s="1" t="str"/>
      <c r="AC78" s="1" t="str"/>
      <c r="AD78" s="111">
        <f>IF(AND(OR(E78=1,E78=0),G78=1),J78,"")</f>
      </c>
      <c r="AE78" s="111">
        <f>IF(AND(OR(E78=1,E78=0),G78=2),J78,"")</f>
      </c>
      <c r="AF78" s="111">
        <f>IF(AND(OR(E78=1,E78=0),G78=3),J78,"")</f>
      </c>
      <c r="AG78" s="1" t="str"/>
      <c r="AH78" s="1" t="str"/>
      <c r="AI78" s="1" t="str"/>
      <c r="AJ78" s="111">
        <f>IF(AND(OR(E78=2,E78=0),G78=1),J78,"")</f>
      </c>
      <c r="AK78" s="111">
        <f>IF(AND(OR(E78=2,E78=0),G78=2),J78,"")</f>
      </c>
      <c r="AL78" s="111">
        <f>IF(AND(OR(E78=2,E78=0),G78=3),J78,"")</f>
      </c>
      <c r="AM78" s="1" t="str"/>
      <c r="AN78" s="1" t="str"/>
      <c r="AO78" s="1" t="str"/>
      <c r="AP78" s="111">
        <f>IF(AND(OR(E78=3,E78=0),G78=1),J78,"")</f>
      </c>
      <c r="AQ78" s="111">
        <f>IF(AND(OR(E78=3,E78=0),G78=2),J78,"")</f>
      </c>
      <c r="AR78" s="111">
        <f>IF(AND(OR(E78=3,E78=0),G78=3),J78,"")</f>
      </c>
    </row>
    <row customHeight="true" ht="19" r="79">
      <c r="A79" s="75" t="str">
        <v>マイペース、マイライフ（红13）</v>
      </c>
      <c r="B79" s="75" t="str"/>
      <c r="C79" s="75" t="str"/>
      <c r="D79" s="116">
        <f>IF(路线!B4="计算",持有情况!AM12,持有情况!AL10)-ROW()*1e-05</f>
      </c>
      <c r="E79" s="117">
        <v>0</v>
      </c>
      <c r="F79" s="117">
        <v>0</v>
      </c>
      <c r="G79" s="116">
        <v>1</v>
      </c>
      <c r="H79" s="117">
        <v>0</v>
      </c>
      <c r="I79" s="1" t="str"/>
      <c r="J79" s="116">
        <f>INT(45+8*路线!B33+4*路线!B20+30)-ROW()*1e-05</f>
      </c>
      <c r="K79" s="1" t="str"/>
      <c r="L79" s="111">
        <f>IF(AND(OR(E79=1,E79=0),G79=1),D79,"")</f>
      </c>
      <c r="M79" s="111">
        <f>IF(AND(OR(E79=2,E79=0),G79=1),D79,"")</f>
      </c>
      <c r="N79" s="111">
        <f>IF(AND(OR(E79=3,E79=0),G79=1),D79,"")</f>
      </c>
      <c r="O79" s="111">
        <f>IF(AND(OR(E79=1,E79=0),G79=2),D79,"")</f>
      </c>
      <c r="P79" s="111">
        <f>IF(AND(OR(E79=2,E79=0),G79=2),D79,"")</f>
      </c>
      <c r="Q79" s="111">
        <f>IF(AND(OR(E79=3,E79=0),G79=2),D79,"")</f>
      </c>
      <c r="R79" s="111">
        <f>IF(AND(OR(E79=1,E79=0),G79=3),D79,"")</f>
      </c>
      <c r="S79" s="111">
        <f>IF(AND(OR(E79=2,E79=0),G79=3),D79,"")</f>
      </c>
      <c r="T79" s="111">
        <f>IF(AND(OR(E79=3,E79=0),G79=3),D79,"")</f>
      </c>
      <c r="U79" s="1" t="str"/>
      <c r="V79" s="1" t="str"/>
      <c r="W79" s="1" t="str"/>
      <c r="X79" s="1" t="str"/>
      <c r="Y79" s="1" t="str"/>
      <c r="Z79" s="1" t="str"/>
      <c r="AA79" s="1" t="str"/>
      <c r="AB79" s="1" t="str"/>
      <c r="AC79" s="1" t="str"/>
      <c r="AD79" s="111">
        <f>IF(AND(OR(E79=1,E79=0),G79=1),J79,"")</f>
      </c>
      <c r="AE79" s="111">
        <f>IF(AND(OR(E79=1,E79=0),G79=2),J79,"")</f>
      </c>
      <c r="AF79" s="111">
        <f>IF(AND(OR(E79=1,E79=0),G79=3),J79,"")</f>
      </c>
      <c r="AG79" s="1" t="str"/>
      <c r="AH79" s="1" t="str"/>
      <c r="AI79" s="1" t="str"/>
      <c r="AJ79" s="111">
        <f>IF(AND(OR(E79=2,E79=0),G79=1),J79,"")</f>
      </c>
      <c r="AK79" s="111">
        <f>IF(AND(OR(E79=2,E79=0),G79=2),J79,"")</f>
      </c>
      <c r="AL79" s="111">
        <f>IF(AND(OR(E79=2,E79=0),G79=3),J79,"")</f>
      </c>
      <c r="AM79" s="1" t="str"/>
      <c r="AN79" s="1" t="str"/>
      <c r="AO79" s="1" t="str"/>
      <c r="AP79" s="111">
        <f>IF(AND(OR(E79=3,E79=0),G79=1),J79,"")</f>
      </c>
      <c r="AQ79" s="111">
        <f>IF(AND(OR(E79=3,E79=0),G79=2),J79,"")</f>
      </c>
      <c r="AR79" s="111">
        <f>IF(AND(OR(E79=3,E79=0),G79=3),J79,"")</f>
      </c>
    </row>
    <row customHeight="true" ht="19" r="80">
      <c r="A80" s="75" t="str">
        <v>ブレイクタイムは珈琲で（sr红购物）</v>
      </c>
      <c r="B80" s="75" t="str"/>
      <c r="C80" s="75" t="str"/>
      <c r="D80" s="116">
        <f>持有情况!AL52-ROW()*1e-05</f>
      </c>
      <c r="E80" s="116">
        <v>2</v>
      </c>
      <c r="F80" s="117">
        <v>0</v>
      </c>
      <c r="G80" s="116">
        <v>1</v>
      </c>
      <c r="H80" s="117">
        <v>0</v>
      </c>
      <c r="I80" s="1" t="str"/>
      <c r="J80" s="116">
        <f>INT(45+8*路线!B39+4*路线!B20+30)-ROW()*1e-05</f>
      </c>
      <c r="K80" s="1" t="str"/>
      <c r="L80" s="111">
        <f>IF(AND(OR(E80=1,E80=0),G80=1),D80,"")</f>
      </c>
      <c r="M80" s="111">
        <f>IF(AND(OR(E80=2,E80=0),G80=1),D80,"")</f>
      </c>
      <c r="N80" s="111">
        <f>IF(AND(OR(E80=3,E80=0),G80=1),D80,"")</f>
      </c>
      <c r="O80" s="111">
        <f>IF(AND(OR(E80=1,E80=0),G80=2),D80,"")</f>
      </c>
      <c r="P80" s="111">
        <f>IF(AND(OR(E80=2,E80=0),G80=2),D80,"")</f>
      </c>
      <c r="Q80" s="111">
        <f>IF(AND(OR(E80=3,E80=0),G80=2),D80,"")</f>
      </c>
      <c r="R80" s="111">
        <f>IF(AND(OR(E80=1,E80=0),G80=3),D80,"")</f>
      </c>
      <c r="S80" s="111">
        <f>IF(AND(OR(E80=2,E80=0),G80=3),D80,"")</f>
      </c>
      <c r="T80" s="111">
        <f>IF(AND(OR(E80=3,E80=0),G80=3),D80,"")</f>
      </c>
      <c r="U80" s="1" t="str"/>
      <c r="V80" s="1" t="str"/>
      <c r="W80" s="1" t="str"/>
      <c r="X80" s="1" t="str"/>
      <c r="Y80" s="1" t="str"/>
      <c r="Z80" s="1" t="str"/>
      <c r="AA80" s="1" t="str"/>
      <c r="AB80" s="1" t="str"/>
      <c r="AC80" s="1" t="str"/>
      <c r="AD80" s="111">
        <f>IF(AND(OR(E80=1,E80=0),G80=1),J80,"")</f>
      </c>
      <c r="AE80" s="111">
        <f>IF(AND(OR(E80=1,E80=0),G80=2),J80,"")</f>
      </c>
      <c r="AF80" s="111">
        <f>IF(AND(OR(E80=1,E80=0),G80=3),J80,"")</f>
      </c>
      <c r="AG80" s="1" t="str"/>
      <c r="AH80" s="1" t="str"/>
      <c r="AI80" s="1" t="str"/>
      <c r="AJ80" s="111">
        <f>IF(AND(OR(E80=2,E80=0),G80=1),J80,"")</f>
      </c>
      <c r="AK80" s="111">
        <f>IF(AND(OR(E80=2,E80=0),G80=2),J80,"")</f>
      </c>
      <c r="AL80" s="111">
        <f>IF(AND(OR(E80=2,E80=0),G80=3),J80,"")</f>
      </c>
      <c r="AM80" s="1" t="str"/>
      <c r="AN80" s="1" t="str"/>
      <c r="AO80" s="1" t="str"/>
      <c r="AP80" s="111">
        <f>IF(AND(OR(E80=3,E80=0),G80=1),J80,"")</f>
      </c>
      <c r="AQ80" s="111">
        <f>IF(AND(OR(E80=3,E80=0),G80=2),J80,"")</f>
      </c>
      <c r="AR80" s="111">
        <f>IF(AND(OR(E80=3,E80=0),G80=3),J80,"")</f>
      </c>
    </row>
    <row customHeight="true" ht="19" r="81">
      <c r="A81" s="99" t="str">
        <v>キュっと締めて（sr蓝购物）</v>
      </c>
      <c r="B81" s="99" t="str"/>
      <c r="C81" s="99" t="str"/>
      <c r="D81" s="116">
        <f>持有情况!AV46-ROW()*1e-05</f>
      </c>
      <c r="E81" s="116">
        <v>1</v>
      </c>
      <c r="F81" s="117">
        <v>0</v>
      </c>
      <c r="G81" s="116">
        <v>2</v>
      </c>
      <c r="H81" s="117">
        <v>0</v>
      </c>
      <c r="I81" s="1" t="str"/>
      <c r="J81" s="116">
        <f>INT(45+8*路线!B39+4*路线!B20+30)-ROW()*1e-05</f>
      </c>
      <c r="K81" s="1" t="str"/>
      <c r="L81" s="111">
        <f>IF(AND(OR(E81=1,E81=0),G81=1),D81,"")</f>
      </c>
      <c r="M81" s="111">
        <f>IF(AND(OR(E81=2,E81=0),G81=1),D81,"")</f>
      </c>
      <c r="N81" s="111">
        <f>IF(AND(OR(E81=3,E81=0),G81=1),D81,"")</f>
      </c>
      <c r="O81" s="111">
        <f>IF(AND(OR(E81=1,E81=0),G81=2),D81,"")</f>
      </c>
      <c r="P81" s="111">
        <f>IF(AND(OR(E81=2,E81=0),G81=2),D81,"")</f>
      </c>
      <c r="Q81" s="111">
        <f>IF(AND(OR(E81=3,E81=0),G81=2),D81,"")</f>
      </c>
      <c r="R81" s="111">
        <f>IF(AND(OR(E81=1,E81=0),G81=3),D81,"")</f>
      </c>
      <c r="S81" s="111">
        <f>IF(AND(OR(E81=2,E81=0),G81=3),D81,"")</f>
      </c>
      <c r="T81" s="111">
        <f>IF(AND(OR(E81=3,E81=0),G81=3),D81,"")</f>
      </c>
      <c r="U81" s="1" t="str"/>
      <c r="V81" s="1" t="str"/>
      <c r="W81" s="1" t="str"/>
      <c r="X81" s="1" t="str"/>
      <c r="Y81" s="1" t="str"/>
      <c r="Z81" s="1" t="str"/>
      <c r="AA81" s="1" t="str"/>
      <c r="AB81" s="1" t="str"/>
      <c r="AC81" s="1" t="str"/>
      <c r="AD81" s="111">
        <f>IF(AND(OR(E81=1,E81=0),G81=1),J81,"")</f>
      </c>
      <c r="AE81" s="111">
        <f>IF(AND(OR(E81=1,E81=0),G81=2),J81,"")</f>
      </c>
      <c r="AF81" s="111">
        <f>IF(AND(OR(E81=1,E81=0),G81=3),J81,"")</f>
      </c>
      <c r="AG81" s="1" t="str"/>
      <c r="AH81" s="1" t="str"/>
      <c r="AI81" s="1" t="str"/>
      <c r="AJ81" s="111">
        <f>IF(AND(OR(E81=2,E81=0),G81=1),J81,"")</f>
      </c>
      <c r="AK81" s="111">
        <f>IF(AND(OR(E81=2,E81=0),G81=2),J81,"")</f>
      </c>
      <c r="AL81" s="111">
        <f>IF(AND(OR(E81=2,E81=0),G81=3),J81,"")</f>
      </c>
      <c r="AM81" s="1" t="str"/>
      <c r="AN81" s="1" t="str"/>
      <c r="AO81" s="1" t="str"/>
      <c r="AP81" s="111">
        <f>IF(AND(OR(E81=3,E81=0),G81=1),J81,"")</f>
      </c>
      <c r="AQ81" s="111">
        <f>IF(AND(OR(E81=3,E81=0),G81=2),J81,"")</f>
      </c>
      <c r="AR81" s="111">
        <f>IF(AND(OR(E81=3,E81=0),G81=3),J81,"")</f>
      </c>
    </row>
    <row customHeight="true" ht="19" r="82">
      <c r="A82" s="99" t="str">
        <v>目指すはテッペン（蓝老师）</v>
      </c>
      <c r="B82" s="99" t="str"/>
      <c r="C82" s="99" t="str"/>
      <c r="D82" s="116">
        <f>持有情况!AV88-ROW()*1e-05</f>
      </c>
      <c r="E82" s="117">
        <v>0</v>
      </c>
      <c r="F82" s="116">
        <v>1</v>
      </c>
      <c r="G82" s="116">
        <v>2</v>
      </c>
      <c r="H82" s="117">
        <v>0</v>
      </c>
      <c r="I82" s="1" t="str"/>
      <c r="J82" s="116">
        <f>INT(45+8*路线!B33+30)-ROW()*1e-05</f>
      </c>
      <c r="K82" s="1" t="str"/>
      <c r="L82" s="111">
        <f>IF(AND(OR(E82=1,E82=0),G82=1),D82,"")</f>
      </c>
      <c r="M82" s="111">
        <f>IF(AND(OR(E82=2,E82=0),G82=1),D82,"")</f>
      </c>
      <c r="N82" s="111">
        <f>IF(AND(OR(E82=3,E82=0),G82=1),D82,"")</f>
      </c>
      <c r="O82" s="111">
        <f>IF(AND(OR(E82=1,E82=0),G82=2),D82,"")</f>
      </c>
      <c r="P82" s="111">
        <f>IF(AND(OR(E82=2,E82=0),G82=2),D82,"")</f>
      </c>
      <c r="Q82" s="111">
        <f>IF(AND(OR(E82=3,E82=0),G82=2),D82,"")</f>
      </c>
      <c r="R82" s="111">
        <f>IF(AND(OR(E82=1,E82=0),G82=3),D82,"")</f>
      </c>
      <c r="S82" s="111">
        <f>IF(AND(OR(E82=2,E82=0),G82=3),D82,"")</f>
      </c>
      <c r="T82" s="111">
        <f>IF(AND(OR(E82=3,E82=0),G82=3),D82,"")</f>
      </c>
      <c r="U82" s="1" t="str"/>
      <c r="V82" s="1" t="str"/>
      <c r="W82" s="1" t="str"/>
      <c r="X82" s="1" t="str"/>
      <c r="Y82" s="1" t="str"/>
      <c r="Z82" s="1" t="str"/>
      <c r="AA82" s="1" t="str"/>
      <c r="AB82" s="1" t="str"/>
      <c r="AC82" s="1" t="str"/>
      <c r="AD82" s="111">
        <f>IF(AND(OR(E82=1,E82=0),G82=1),J82,"")</f>
      </c>
      <c r="AE82" s="111">
        <f>IF(AND(OR(E82=1,E82=0),G82=2),J82,"")</f>
      </c>
      <c r="AF82" s="111">
        <f>IF(AND(OR(E82=1,E82=0),G82=3),J82,"")</f>
      </c>
      <c r="AG82" s="1" t="str"/>
      <c r="AH82" s="1" t="str"/>
      <c r="AI82" s="1" t="str"/>
      <c r="AJ82" s="111">
        <f>IF(AND(OR(E82=2,E82=0),G82=1),J82,"")</f>
      </c>
      <c r="AK82" s="111">
        <f>IF(AND(OR(E82=2,E82=0),G82=2),J82,"")</f>
      </c>
      <c r="AL82" s="111">
        <f>IF(AND(OR(E82=2,E82=0),G82=3),J82,"")</f>
      </c>
      <c r="AM82" s="1" t="str"/>
      <c r="AN82" s="1" t="str"/>
      <c r="AO82" s="1" t="str"/>
      <c r="AP82" s="111">
        <f>IF(AND(OR(E82=3,E82=0),G82=1),J82,"")</f>
      </c>
      <c r="AQ82" s="111">
        <f>IF(AND(OR(E82=3,E82=0),G82=2),J82,"")</f>
      </c>
      <c r="AR82" s="111">
        <f>IF(AND(OR(E82=3,E82=0),G82=3),J82,"")</f>
      </c>
    </row>
    <row customHeight="true" ht="19" r="83">
      <c r="A83" s="86" t="str">
        <v>お姉ちゃんに任せなさい！（黄发卡）</v>
      </c>
      <c r="B83" s="86" t="str"/>
      <c r="C83" s="86" t="str"/>
      <c r="D83" s="116">
        <f>持有情况!AB28-ROW()*1e-05</f>
      </c>
      <c r="E83" s="117">
        <v>0</v>
      </c>
      <c r="F83" s="117">
        <v>0</v>
      </c>
      <c r="G83" s="116">
        <v>3</v>
      </c>
      <c r="H83" s="116">
        <v>1</v>
      </c>
      <c r="I83" s="111" t="str">
        <v>黄发卡</v>
      </c>
      <c r="J83" s="116">
        <f>INT((8.5/100)*路线!B13+17*路线!B21+4*(路线!B28+路线!B29)+40)-ROW()*1e-05</f>
      </c>
      <c r="K83" s="1" t="str"/>
      <c r="L83" s="111">
        <f>IF(AND(OR(E83=1,E83=0),G83=1),D83,"")</f>
      </c>
      <c r="M83" s="111">
        <f>IF(AND(OR(E83=2,E83=0),G83=1),D83,"")</f>
      </c>
      <c r="N83" s="111">
        <f>IF(AND(OR(E83=3,E83=0),G83=1),D83,"")</f>
      </c>
      <c r="O83" s="111">
        <f>IF(AND(OR(E83=1,E83=0),G83=2),D83,"")</f>
      </c>
      <c r="P83" s="111">
        <f>IF(AND(OR(E83=2,E83=0),G83=2),D83,"")</f>
      </c>
      <c r="Q83" s="111">
        <f>IF(AND(OR(E83=3,E83=0),G83=2),D83,"")</f>
      </c>
      <c r="R83" s="111">
        <f>IF(AND(OR(E83=1,E83=0),G83=3),D83,"")</f>
      </c>
      <c r="S83" s="111">
        <f>IF(AND(OR(E83=2,E83=0),G83=3),D83,"")</f>
      </c>
      <c r="T83" s="111">
        <f>IF(AND(OR(E83=3,E83=0),G83=3),D83,"")</f>
      </c>
      <c r="U83" s="1" t="str"/>
      <c r="V83" s="1" t="str"/>
      <c r="W83" s="1" t="str"/>
      <c r="X83" s="1" t="str"/>
      <c r="Y83" s="1" t="str"/>
      <c r="Z83" s="1" t="str"/>
      <c r="AA83" s="1" t="str"/>
      <c r="AB83" s="1" t="str"/>
      <c r="AC83" s="1" t="str"/>
      <c r="AD83" s="111">
        <f>IF(AND(OR(E83=1,E83=0),G83=1),J83,"")</f>
      </c>
      <c r="AE83" s="111">
        <f>IF(AND(OR(E83=1,E83=0),G83=2),J83,"")</f>
      </c>
      <c r="AF83" s="111">
        <f>IF(AND(OR(E83=1,E83=0),G83=3),J83,"")</f>
      </c>
      <c r="AG83" s="1" t="str"/>
      <c r="AH83" s="1" t="str"/>
      <c r="AI83" s="1" t="str"/>
      <c r="AJ83" s="111">
        <f>IF(AND(OR(E83=2,E83=0),G83=1),J83,"")</f>
      </c>
      <c r="AK83" s="111">
        <f>IF(AND(OR(E83=2,E83=0),G83=2),J83,"")</f>
      </c>
      <c r="AL83" s="111">
        <f>IF(AND(OR(E83=2,E83=0),G83=3),J83,"")</f>
      </c>
      <c r="AM83" s="1" t="str"/>
      <c r="AN83" s="1" t="str"/>
      <c r="AO83" s="1" t="str"/>
      <c r="AP83" s="111">
        <f>IF(AND(OR(E83=3,E83=0),G83=1),J83,"")</f>
      </c>
      <c r="AQ83" s="111">
        <f>IF(AND(OR(E83=3,E83=0),G83=2),J83,"")</f>
      </c>
      <c r="AR83" s="111">
        <f>IF(AND(OR(E83=3,E83=0),G83=3),J83,"")</f>
      </c>
    </row>
    <row customHeight="true" ht="19" r="84">
      <c r="A84" s="75" t="str">
        <v>次の桜の季節には。（花荫）</v>
      </c>
      <c r="B84" s="75" t="str"/>
      <c r="C84" s="75" t="str"/>
      <c r="D84" s="116">
        <f>持有情况!H22-ROW()*1e-05</f>
      </c>
      <c r="E84" s="117">
        <v>0</v>
      </c>
      <c r="F84" s="117">
        <v>0</v>
      </c>
      <c r="G84" s="116">
        <v>1</v>
      </c>
      <c r="H84" s="116">
        <v>1</v>
      </c>
      <c r="I84" s="111" t="str">
        <v>花荫</v>
      </c>
      <c r="J84" s="116">
        <f>IF(路线!C6="计算",INT((8.5/100)*路线!B13+6*路线!B20+4*(路线!B28+路线!B29)+40+20)-ROW()*1e-05,INT((8.5/100)*路线!B13+6*路线!B20+4*(路线!B28+路线!B29)+40)-ROW()*1e-05)</f>
      </c>
      <c r="K84" s="1" t="str"/>
      <c r="L84" s="111">
        <f>IF(AND(OR(E84=1,E84=0),G84=1),D84,"")</f>
      </c>
      <c r="M84" s="111">
        <f>IF(AND(OR(E84=2,E84=0),G84=1),D84,"")</f>
      </c>
      <c r="N84" s="111">
        <f>IF(AND(OR(E84=3,E84=0),G84=1),D84,"")</f>
      </c>
      <c r="O84" s="111">
        <f>IF(AND(OR(E84=1,E84=0),G84=2),D84,"")</f>
      </c>
      <c r="P84" s="111">
        <f>IF(AND(OR(E84=2,E84=0),G84=2),D84,"")</f>
      </c>
      <c r="Q84" s="111">
        <f>IF(AND(OR(E84=3,E84=0),G84=2),D84,"")</f>
      </c>
      <c r="R84" s="111">
        <f>IF(AND(OR(E84=1,E84=0),G84=3),D84,"")</f>
      </c>
      <c r="S84" s="111">
        <f>IF(AND(OR(E84=2,E84=0),G84=3),D84,"")</f>
      </c>
      <c r="T84" s="111">
        <f>IF(AND(OR(E84=3,E84=0),G84=3),D84,"")</f>
      </c>
      <c r="U84" s="1" t="str"/>
      <c r="V84" s="1" t="str"/>
      <c r="W84" s="1" t="str"/>
      <c r="X84" s="1" t="str"/>
      <c r="Y84" s="1" t="str"/>
      <c r="Z84" s="1" t="str"/>
      <c r="AA84" s="1" t="str"/>
      <c r="AB84" s="1" t="str"/>
      <c r="AC84" s="1" t="str"/>
      <c r="AD84" s="111">
        <f>IF(AND(OR(E84=1,E84=0),G84=1),J84,"")</f>
      </c>
      <c r="AE84" s="111">
        <f>IF(AND(OR(E84=1,E84=0),G84=2),J84,"")</f>
      </c>
      <c r="AF84" s="111">
        <f>IF(AND(OR(E84=1,E84=0),G84=3),J84,"")</f>
      </c>
      <c r="AG84" s="1" t="str"/>
      <c r="AH84" s="1" t="str"/>
      <c r="AI84" s="1" t="str"/>
      <c r="AJ84" s="111">
        <f>IF(AND(OR(E84=2,E84=0),G84=1),J84,"")</f>
      </c>
      <c r="AK84" s="111">
        <f>IF(AND(OR(E84=2,E84=0),G84=2),J84,"")</f>
      </c>
      <c r="AL84" s="111">
        <f>IF(AND(OR(E84=2,E84=0),G84=3),J84,"")</f>
      </c>
      <c r="AM84" s="1" t="str"/>
      <c r="AN84" s="1" t="str"/>
      <c r="AO84" s="1" t="str"/>
      <c r="AP84" s="111">
        <f>IF(AND(OR(E84=3,E84=0),G84=1),J84,"")</f>
      </c>
      <c r="AQ84" s="111">
        <f>IF(AND(OR(E84=3,E84=0),G84=2),J84,"")</f>
      </c>
      <c r="AR84" s="111">
        <f>IF(AND(OR(E84=3,E84=0),G84=3),J84,"")</f>
      </c>
    </row>
    <row customHeight="true" ht="19" r="85">
      <c r="A85" s="99" t="str">
        <v>トンボをつかまえて（小秋见）</v>
      </c>
      <c r="B85" s="99" t="str"/>
      <c r="C85" s="99" t="str"/>
      <c r="D85" s="116">
        <f>持有情况!AV58-ROW()*1e-05</f>
      </c>
      <c r="E85" s="116">
        <v>1</v>
      </c>
      <c r="F85" s="117">
        <v>0</v>
      </c>
      <c r="G85" s="116">
        <v>2</v>
      </c>
      <c r="H85" s="116">
        <v>1</v>
      </c>
      <c r="I85" s="111" t="str">
        <v>小秋见</v>
      </c>
      <c r="J85" s="116">
        <f>INT((6.4/100)*路线!B13+3*(路线!B28+路线!B29)+17+13*路线!B21+30)-ROW()*1e-05</f>
      </c>
      <c r="K85" s="1" t="str"/>
      <c r="L85" s="111">
        <f>IF(AND(OR(E85=1,E85=0),G85=1),D85,"")</f>
      </c>
      <c r="M85" s="111">
        <f>IF(AND(OR(E85=2,E85=0),G85=1),D85,"")</f>
      </c>
      <c r="N85" s="111">
        <f>IF(AND(OR(E85=3,E85=0),G85=1),D85,"")</f>
      </c>
      <c r="O85" s="111">
        <f>IF(AND(OR(E85=1,E85=0),G85=2),D85,"")</f>
      </c>
      <c r="P85" s="111">
        <f>IF(AND(OR(E85=2,E85=0),G85=2),D85,"")</f>
      </c>
      <c r="Q85" s="111">
        <f>IF(AND(OR(E85=3,E85=0),G85=2),D85,"")</f>
      </c>
      <c r="R85" s="111">
        <f>IF(AND(OR(E85=1,E85=0),G85=3),D85,"")</f>
      </c>
      <c r="S85" s="111">
        <f>IF(AND(OR(E85=2,E85=0),G85=3),D85,"")</f>
      </c>
      <c r="T85" s="111">
        <f>IF(AND(OR(E85=3,E85=0),G85=3),D85,"")</f>
      </c>
      <c r="U85" s="1" t="str"/>
      <c r="V85" s="1" t="str"/>
      <c r="W85" s="1" t="str"/>
      <c r="X85" s="1" t="str"/>
      <c r="Y85" s="1" t="str"/>
      <c r="Z85" s="1" t="str"/>
      <c r="AA85" s="1" t="str"/>
      <c r="AB85" s="1" t="str"/>
      <c r="AC85" s="1" t="str"/>
      <c r="AD85" s="111">
        <f>IF(AND(OR(E85=1,E85=0),G85=1),J85,"")</f>
      </c>
      <c r="AE85" s="111">
        <f>IF(AND(OR(E85=1,E85=0),G85=2),J85,"")</f>
      </c>
      <c r="AF85" s="111">
        <f>IF(AND(OR(E85=1,E85=0),G85=3),J85,"")</f>
      </c>
      <c r="AG85" s="1" t="str"/>
      <c r="AH85" s="1" t="str"/>
      <c r="AI85" s="1" t="str"/>
      <c r="AJ85" s="111">
        <f>IF(AND(OR(E85=2,E85=0),G85=1),J85,"")</f>
      </c>
      <c r="AK85" s="111">
        <f>IF(AND(OR(E85=2,E85=0),G85=2),J85,"")</f>
      </c>
      <c r="AL85" s="111">
        <f>IF(AND(OR(E85=2,E85=0),G85=3),J85,"")</f>
      </c>
      <c r="AM85" s="1" t="str"/>
      <c r="AN85" s="1" t="str"/>
      <c r="AO85" s="1" t="str"/>
      <c r="AP85" s="111">
        <f>IF(AND(OR(E85=3,E85=0),G85=1),J85,"")</f>
      </c>
      <c r="AQ85" s="111">
        <f>IF(AND(OR(E85=3,E85=0),G85=2),J85,"")</f>
      </c>
      <c r="AR85" s="111">
        <f>IF(AND(OR(E85=3,E85=0),G85=3),J85,"")</f>
      </c>
    </row>
    <row customHeight="true" ht="19" r="86">
      <c r="A86" s="75" t="str">
        <v>さあ、もう一戦！（黑岩射手）</v>
      </c>
      <c r="B86" s="75" t="str"/>
      <c r="C86" s="75" t="str"/>
      <c r="D86" s="116">
        <f>持有情况!H94-ROW()*1e-05</f>
      </c>
      <c r="E86" s="117">
        <v>0</v>
      </c>
      <c r="F86" s="117">
        <v>0</v>
      </c>
      <c r="G86" s="116">
        <v>1</v>
      </c>
      <c r="H86" s="116">
        <v>1</v>
      </c>
      <c r="I86" s="111" t="str">
        <v>黑岩射手</v>
      </c>
      <c r="J86" s="116">
        <f>IF(路线!C6="计算",INT((8.5/100)*路线!B13+2*路线!B24+13*路线!B21+40+20)-ROW()*1e-05,INT((8.5/100)*路线!B13+2*路线!B24+13*路线!B21+40)-ROW()*1e-05)</f>
      </c>
      <c r="K86" s="1" t="str"/>
      <c r="L86" s="111">
        <f>IF(AND(OR(E86=1,E86=0),G86=1),D86,"")</f>
      </c>
      <c r="M86" s="111">
        <f>IF(AND(OR(E86=2,E86=0),G86=1),D86,"")</f>
      </c>
      <c r="N86" s="111">
        <f>IF(AND(OR(E86=3,E86=0),G86=1),D86,"")</f>
      </c>
      <c r="O86" s="111">
        <f>IF(AND(OR(E86=1,E86=0),G86=2),D86,"")</f>
      </c>
      <c r="P86" s="111">
        <f>IF(AND(OR(E86=2,E86=0),G86=2),D86,"")</f>
      </c>
      <c r="Q86" s="111">
        <f>IF(AND(OR(E86=3,E86=0),G86=2),D86,"")</f>
      </c>
      <c r="R86" s="111">
        <f>IF(AND(OR(E86=1,E86=0),G86=3),D86,"")</f>
      </c>
      <c r="S86" s="111">
        <f>IF(AND(OR(E86=2,E86=0),G86=3),D86,"")</f>
      </c>
      <c r="T86" s="111">
        <f>IF(AND(OR(E86=3,E86=0),G86=3),D86,"")</f>
      </c>
      <c r="U86" s="1" t="str"/>
      <c r="V86" s="1" t="str"/>
      <c r="W86" s="1" t="str"/>
      <c r="X86" s="1" t="str"/>
      <c r="Y86" s="1" t="str"/>
      <c r="Z86" s="1" t="str"/>
      <c r="AA86" s="1" t="str"/>
      <c r="AB86" s="1" t="str"/>
      <c r="AC86" s="1" t="str"/>
      <c r="AD86" s="111">
        <f>IF(AND(OR(E86=1,E86=0),G86=1),J86,"")</f>
      </c>
      <c r="AE86" s="111">
        <f>IF(AND(OR(E86=1,E86=0),G86=2),J86,"")</f>
      </c>
      <c r="AF86" s="111">
        <f>IF(AND(OR(E86=1,E86=0),G86=3),J86,"")</f>
      </c>
      <c r="AG86" s="1" t="str"/>
      <c r="AH86" s="1" t="str"/>
      <c r="AI86" s="1" t="str"/>
      <c r="AJ86" s="111">
        <f>IF(AND(OR(E86=2,E86=0),G86=1),J86,"")</f>
      </c>
      <c r="AK86" s="111">
        <f>IF(AND(OR(E86=2,E86=0),G86=2),J86,"")</f>
      </c>
      <c r="AL86" s="111">
        <f>IF(AND(OR(E86=2,E86=0),G86=3),J86,"")</f>
      </c>
      <c r="AM86" s="1" t="str"/>
      <c r="AN86" s="1" t="str"/>
      <c r="AO86" s="1" t="str"/>
      <c r="AP86" s="111">
        <f>IF(AND(OR(E86=3,E86=0),G86=1),J86,"")</f>
      </c>
      <c r="AQ86" s="111">
        <f>IF(AND(OR(E86=3,E86=0),G86=2),J86,"")</f>
      </c>
      <c r="AR86" s="111">
        <f>IF(AND(OR(E86=3,E86=0),G86=3),J86,"")</f>
      </c>
    </row>
    <row customHeight="true" ht="19" r="87">
      <c r="A87" s="86" t="str">
        <v>SSDのひみつ（悄悄话）</v>
      </c>
      <c r="B87" s="86" t="str"/>
      <c r="C87" s="86" t="str"/>
      <c r="D87" s="116">
        <f>持有情况!BF52-ROW()*1e-05</f>
      </c>
      <c r="E87" s="116">
        <v>2</v>
      </c>
      <c r="F87" s="116">
        <v>1</v>
      </c>
      <c r="G87" s="116">
        <v>3</v>
      </c>
      <c r="H87" s="117">
        <v>0</v>
      </c>
      <c r="I87" s="1" t="str"/>
      <c r="J87" s="116">
        <f>INT(45+11*路线!B34+13*路线!B21+30)-ROW()*1e-05</f>
      </c>
      <c r="K87" s="1" t="str"/>
      <c r="L87" s="111">
        <f>IF(AND(OR(E87=1,E87=0),G87=1),D87,"")</f>
      </c>
      <c r="M87" s="111">
        <f>IF(AND(OR(E87=2,E87=0),G87=1),D87,"")</f>
      </c>
      <c r="N87" s="111">
        <f>IF(AND(OR(E87=3,E87=0),G87=1),D87,"")</f>
      </c>
      <c r="O87" s="111">
        <f>IF(AND(OR(E87=1,E87=0),G87=2),D87,"")</f>
      </c>
      <c r="P87" s="111">
        <f>IF(AND(OR(E87=2,E87=0),G87=2),D87,"")</f>
      </c>
      <c r="Q87" s="111">
        <f>IF(AND(OR(E87=3,E87=0),G87=2),D87,"")</f>
      </c>
      <c r="R87" s="111">
        <f>IF(AND(OR(E87=1,E87=0),G87=3),D87,"")</f>
      </c>
      <c r="S87" s="111">
        <f>IF(AND(OR(E87=2,E87=0),G87=3),D87,"")</f>
      </c>
      <c r="T87" s="111">
        <f>IF(AND(OR(E87=3,E87=0),G87=3),D87,"")</f>
      </c>
      <c r="U87" s="1" t="str"/>
      <c r="V87" s="1" t="str"/>
      <c r="W87" s="1" t="str"/>
      <c r="X87" s="1" t="str"/>
      <c r="Y87" s="1" t="str"/>
      <c r="Z87" s="1" t="str"/>
      <c r="AA87" s="1" t="str"/>
      <c r="AB87" s="1" t="str"/>
      <c r="AC87" s="1" t="str"/>
      <c r="AD87" s="111">
        <f>IF(AND(OR(E87=1,E87=0),G87=1),J87,"")</f>
      </c>
      <c r="AE87" s="111">
        <f>IF(AND(OR(E87=1,E87=0),G87=2),J87,"")</f>
      </c>
      <c r="AF87" s="111">
        <f>IF(AND(OR(E87=1,E87=0),G87=3),J87,"")</f>
      </c>
      <c r="AG87" s="1" t="str"/>
      <c r="AH87" s="1" t="str"/>
      <c r="AI87" s="1" t="str"/>
      <c r="AJ87" s="111">
        <f>IF(AND(OR(E87=2,E87=0),G87=1),J87,"")</f>
      </c>
      <c r="AK87" s="111">
        <f>IF(AND(OR(E87=2,E87=0),G87=2),J87,"")</f>
      </c>
      <c r="AL87" s="111">
        <f>IF(AND(OR(E87=2,E87=0),G87=3),J87,"")</f>
      </c>
      <c r="AM87" s="1" t="str"/>
      <c r="AN87" s="1" t="str"/>
      <c r="AO87" s="1" t="str"/>
      <c r="AP87" s="111">
        <f>IF(AND(OR(E87=3,E87=0),G87=1),J87,"")</f>
      </c>
      <c r="AQ87" s="111">
        <f>IF(AND(OR(E87=3,E87=0),G87=2),J87,"")</f>
      </c>
      <c r="AR87" s="111">
        <f>IF(AND(OR(E87=3,E87=0),G87=3),J87,"")</f>
      </c>
    </row>
    <row customHeight="true" ht="19" r="88">
      <c r="A88" s="99" t="str">
        <v>パシャっとキメポ（sr蓝睡）</v>
      </c>
      <c r="B88" s="99" t="str"/>
      <c r="C88" s="99" t="str"/>
      <c r="D88" s="116">
        <f>持有情况!AV28-ROW()*1e-05</f>
      </c>
      <c r="E88" s="116">
        <v>1</v>
      </c>
      <c r="F88" s="117">
        <v>0</v>
      </c>
      <c r="G88" s="116">
        <v>2</v>
      </c>
      <c r="H88" s="116">
        <v>1</v>
      </c>
      <c r="I88" s="111" t="str">
        <v>sr蓝睡</v>
      </c>
      <c r="J88" s="116">
        <f>IF(路线!C6="计算",INT(45+17*路线!B32+4*路线!B20+30+20)-ROW()*1e-05,INT(45+17*路线!B32+4*路线!B20+30)-ROW()*1e-05)</f>
      </c>
      <c r="K88" s="1" t="str"/>
      <c r="L88" s="111">
        <f>IF(AND(OR(E88=1,E88=0),G88=1),D88,"")</f>
      </c>
      <c r="M88" s="111">
        <f>IF(AND(OR(E88=2,E88=0),G88=1),D88,"")</f>
      </c>
      <c r="N88" s="111">
        <f>IF(AND(OR(E88=3,E88=0),G88=1),D88,"")</f>
      </c>
      <c r="O88" s="111">
        <f>IF(AND(OR(E88=1,E88=0),G88=2),D88,"")</f>
      </c>
      <c r="P88" s="111">
        <f>IF(AND(OR(E88=2,E88=0),G88=2),D88,"")</f>
      </c>
      <c r="Q88" s="111">
        <f>IF(AND(OR(E88=3,E88=0),G88=2),D88,"")</f>
      </c>
      <c r="R88" s="111">
        <f>IF(AND(OR(E88=1,E88=0),G88=3),D88,"")</f>
      </c>
      <c r="S88" s="111">
        <f>IF(AND(OR(E88=2,E88=0),G88=3),D88,"")</f>
      </c>
      <c r="T88" s="111">
        <f>IF(AND(OR(E88=3,E88=0),G88=3),D88,"")</f>
      </c>
      <c r="U88" s="1" t="str"/>
      <c r="V88" s="1" t="str"/>
      <c r="W88" s="1" t="str"/>
      <c r="X88" s="1" t="str"/>
      <c r="Y88" s="1" t="str"/>
      <c r="Z88" s="1" t="str"/>
      <c r="AA88" s="1" t="str"/>
      <c r="AB88" s="1" t="str"/>
      <c r="AC88" s="1" t="str"/>
      <c r="AD88" s="111">
        <f>IF(AND(OR(E88=1,E88=0),G88=1),J88,"")</f>
      </c>
      <c r="AE88" s="111">
        <f>IF(AND(OR(E88=1,E88=0),G88=2),J88,"")</f>
      </c>
      <c r="AF88" s="111">
        <f>IF(AND(OR(E88=1,E88=0),G88=3),J88,"")</f>
      </c>
      <c r="AG88" s="1" t="str"/>
      <c r="AH88" s="1" t="str"/>
      <c r="AI88" s="1" t="str"/>
      <c r="AJ88" s="111">
        <f>IF(AND(OR(E88=2,E88=0),G88=1),J88,"")</f>
      </c>
      <c r="AK88" s="111">
        <f>IF(AND(OR(E88=2,E88=0),G88=2),J88,"")</f>
      </c>
      <c r="AL88" s="111">
        <f>IF(AND(OR(E88=2,E88=0),G88=3),J88,"")</f>
      </c>
      <c r="AM88" s="1" t="str"/>
      <c r="AN88" s="1" t="str"/>
      <c r="AO88" s="1" t="str"/>
      <c r="AP88" s="111">
        <f>IF(AND(OR(E88=3,E88=0),G88=1),J88,"")</f>
      </c>
      <c r="AQ88" s="111">
        <f>IF(AND(OR(E88=3,E88=0),G88=2),J88,"")</f>
      </c>
      <c r="AR88" s="111">
        <f>IF(AND(OR(E88=3,E88=0),G88=3),J88,"")</f>
      </c>
    </row>
    <row customHeight="true" ht="19" r="89">
      <c r="A89" s="86" t="str">
        <v>てとりあしとり</v>
      </c>
      <c r="B89" s="86" t="str"/>
      <c r="C89" s="86" t="str"/>
      <c r="D89" s="116">
        <f>持有情况!BF22-ROW()*1e-05</f>
      </c>
      <c r="E89" s="117">
        <v>0</v>
      </c>
      <c r="F89" s="117">
        <v>0</v>
      </c>
      <c r="G89" s="116">
        <v>3</v>
      </c>
      <c r="H89" s="116">
        <v>1</v>
      </c>
      <c r="I89" s="1" t="str"/>
      <c r="J89" s="116">
        <f>IF(路线!C6="计算",INT(45+11*路线!B34+4*路线!B20+30+20)-ROW()*1e-05,INT(45+11*路线!B34+4*路线!B20+30)-ROW()*1e-05)</f>
      </c>
      <c r="K89" s="1" t="str"/>
      <c r="L89" s="111">
        <f>IF(AND(OR(E89=1,E89=0),G89=1),D89,"")</f>
      </c>
      <c r="M89" s="111">
        <f>IF(AND(OR(E89=2,E89=0),G89=1),D89,"")</f>
      </c>
      <c r="N89" s="111">
        <f>IF(AND(OR(E89=3,E89=0),G89=1),D89,"")</f>
      </c>
      <c r="O89" s="111">
        <f>IF(AND(OR(E89=1,E89=0),G89=2),D89,"")</f>
      </c>
      <c r="P89" s="111">
        <f>IF(AND(OR(E89=2,E89=0),G89=2),D89,"")</f>
      </c>
      <c r="Q89" s="111">
        <f>IF(AND(OR(E89=3,E89=0),G89=2),D89,"")</f>
      </c>
      <c r="R89" s="111">
        <f>IF(AND(OR(E89=1,E89=0),G89=3),D89,"")</f>
      </c>
      <c r="S89" s="111">
        <f>IF(AND(OR(E89=2,E89=0),G89=3),D89,"")</f>
      </c>
      <c r="T89" s="111">
        <f>IF(AND(OR(E89=3,E89=0),G89=3),D89,"")</f>
      </c>
      <c r="U89" s="1" t="str"/>
      <c r="V89" s="1" t="str"/>
      <c r="W89" s="1" t="str"/>
      <c r="X89" s="1" t="str"/>
      <c r="Y89" s="1" t="str"/>
      <c r="Z89" s="1" t="str"/>
      <c r="AA89" s="1" t="str"/>
      <c r="AB89" s="1" t="str"/>
      <c r="AC89" s="1" t="str"/>
      <c r="AD89" s="111">
        <f>IF(AND(OR(E89=1,E89=0),G89=1),J89,"")</f>
      </c>
      <c r="AE89" s="111">
        <f>IF(AND(OR(E89=1,E89=0),G89=2),J89,"")</f>
      </c>
      <c r="AF89" s="111">
        <f>IF(AND(OR(E89=1,E89=0),G89=3),J89,"")</f>
      </c>
      <c r="AG89" s="1" t="str"/>
      <c r="AH89" s="1" t="str"/>
      <c r="AI89" s="1" t="str"/>
      <c r="AJ89" s="111">
        <f>IF(AND(OR(E89=2,E89=0),G89=1),J89,"")</f>
      </c>
      <c r="AK89" s="111">
        <f>IF(AND(OR(E89=2,E89=0),G89=2),J89,"")</f>
      </c>
      <c r="AL89" s="111">
        <f>IF(AND(OR(E89=2,E89=0),G89=3),J89,"")</f>
      </c>
      <c r="AM89" s="1" t="str"/>
      <c r="AN89" s="1" t="str"/>
      <c r="AO89" s="1" t="str"/>
      <c r="AP89" s="111">
        <f>IF(AND(OR(E89=3,E89=0),G89=1),J89,"")</f>
      </c>
      <c r="AQ89" s="111">
        <f>IF(AND(OR(E89=3,E89=0),G89=2),J89,"")</f>
      </c>
      <c r="AR89" s="111">
        <f>IF(AND(OR(E89=3,E89=0),G89=3),J89,"")</f>
      </c>
    </row>
    <row customHeight="true" ht="19" r="90">
      <c r="A90" s="99" t="str">
        <v>ほら、一緒に持と♪（蓝再动）</v>
      </c>
      <c r="B90" s="99" t="str"/>
      <c r="C90" s="99" t="str"/>
      <c r="D90" s="116">
        <f>持有情况!R4-ROW()*1e-05</f>
      </c>
      <c r="E90" s="117">
        <v>0</v>
      </c>
      <c r="F90" s="117">
        <v>0</v>
      </c>
      <c r="G90" s="116">
        <v>2</v>
      </c>
      <c r="H90" s="116">
        <v>1</v>
      </c>
      <c r="I90" s="111" t="str">
        <v>蓝再动</v>
      </c>
      <c r="J90" s="116">
        <f>INT((8.5/100)*路线!B13+6*路线!B20+3*路线!B23+40)-ROW()*1e-05</f>
      </c>
      <c r="K90" s="1" t="str"/>
      <c r="L90" s="111">
        <f>IF(AND(OR(E90=1,E90=0),G90=1),D90,"")</f>
      </c>
      <c r="M90" s="111">
        <f>IF(AND(OR(E90=2,E90=0),G90=1),D90,"")</f>
      </c>
      <c r="N90" s="111">
        <f>IF(AND(OR(E90=3,E90=0),G90=1),D90,"")</f>
      </c>
      <c r="O90" s="111">
        <f>IF(AND(OR(E90=1,E90=0),G90=2),D90,"")</f>
      </c>
      <c r="P90" s="111">
        <f>IF(AND(OR(E90=2,E90=0),G90=2),D90,"")</f>
      </c>
      <c r="Q90" s="111">
        <f>IF(AND(OR(E90=3,E90=0),G90=2),D90,"")</f>
      </c>
      <c r="R90" s="111">
        <f>IF(AND(OR(E90=1,E90=0),G90=3),D90,"")</f>
      </c>
      <c r="S90" s="111">
        <f>IF(AND(OR(E90=2,E90=0),G90=3),D90,"")</f>
      </c>
      <c r="T90" s="111">
        <f>IF(AND(OR(E90=3,E90=0),G90=3),D90,"")</f>
      </c>
      <c r="U90" s="1" t="str"/>
      <c r="V90" s="1" t="str"/>
      <c r="W90" s="1" t="str"/>
      <c r="X90" s="1" t="str"/>
      <c r="Y90" s="1" t="str"/>
      <c r="Z90" s="1" t="str"/>
      <c r="AA90" s="1" t="str"/>
      <c r="AB90" s="1" t="str"/>
      <c r="AC90" s="1" t="str"/>
      <c r="AD90" s="111">
        <f>IF(AND(OR(E90=1,E90=0),G90=1),J90,"")</f>
      </c>
      <c r="AE90" s="111">
        <f>IF(AND(OR(E90=1,E90=0),G90=2),J90,"")</f>
      </c>
      <c r="AF90" s="111">
        <f>IF(AND(OR(E90=1,E90=0),G90=3),J90,"")</f>
      </c>
      <c r="AG90" s="1" t="str"/>
      <c r="AH90" s="1" t="str"/>
      <c r="AI90" s="1" t="str"/>
      <c r="AJ90" s="111">
        <f>IF(AND(OR(E90=2,E90=0),G90=1),J90,"")</f>
      </c>
      <c r="AK90" s="111">
        <f>IF(AND(OR(E90=2,E90=0),G90=2),J90,"")</f>
      </c>
      <c r="AL90" s="111">
        <f>IF(AND(OR(E90=2,E90=0),G90=3),J90,"")</f>
      </c>
      <c r="AM90" s="1" t="str"/>
      <c r="AN90" s="1" t="str"/>
      <c r="AO90" s="1" t="str"/>
      <c r="AP90" s="111">
        <f>IF(AND(OR(E90=3,E90=0),G90=1),J90,"")</f>
      </c>
      <c r="AQ90" s="111">
        <f>IF(AND(OR(E90=3,E90=0),G90=2),J90,"")</f>
      </c>
      <c r="AR90" s="111">
        <f>IF(AND(OR(E90=3,E90=0),G90=3),J90,"")</f>
      </c>
    </row>
    <row customHeight="true" ht="19" r="91">
      <c r="A91" s="86" t="str">
        <v>お疲れ様、千奈ちゃん。（辛苦了千奈）</v>
      </c>
      <c r="B91" s="86" t="str"/>
      <c r="C91" s="86" t="str"/>
      <c r="D91" s="116">
        <f>持有情况!AB22-ROW()*1e-05</f>
      </c>
      <c r="E91" s="117">
        <v>0</v>
      </c>
      <c r="F91" s="117">
        <v>0</v>
      </c>
      <c r="G91" s="116">
        <v>3</v>
      </c>
      <c r="H91" s="116">
        <v>1</v>
      </c>
      <c r="I91" s="111" t="str">
        <v>辛苦了千奈</v>
      </c>
      <c r="J91" s="116">
        <f>INT((8.5/100)*路线!B13+6*路线!B20+3*路线!B23+40)-ROW()*1e-05</f>
      </c>
      <c r="K91" s="1" t="str"/>
      <c r="L91" s="111">
        <f>IF(AND(OR(E91=1,E91=0),G91=1),D91,"")</f>
      </c>
      <c r="M91" s="111">
        <f>IF(AND(OR(E91=2,E91=0),G91=1),D91,"")</f>
      </c>
      <c r="N91" s="111">
        <f>IF(AND(OR(E91=3,E91=0),G91=1),D91,"")</f>
      </c>
      <c r="O91" s="111">
        <f>IF(AND(OR(E91=1,E91=0),G91=2),D91,"")</f>
      </c>
      <c r="P91" s="111">
        <f>IF(AND(OR(E91=2,E91=0),G91=2),D91,"")</f>
      </c>
      <c r="Q91" s="111">
        <f>IF(AND(OR(E91=3,E91=0),G91=2),D91,"")</f>
      </c>
      <c r="R91" s="111">
        <f>IF(AND(OR(E91=1,E91=0),G91=3),D91,"")</f>
      </c>
      <c r="S91" s="111">
        <f>IF(AND(OR(E91=2,E91=0),G91=3),D91,"")</f>
      </c>
      <c r="T91" s="111">
        <f>IF(AND(OR(E91=3,E91=0),G91=3),D91,"")</f>
      </c>
      <c r="U91" s="1" t="str"/>
      <c r="V91" s="1" t="str"/>
      <c r="W91" s="1" t="str"/>
      <c r="X91" s="1" t="str"/>
      <c r="Y91" s="1" t="str"/>
      <c r="Z91" s="1" t="str"/>
      <c r="AA91" s="1" t="str"/>
      <c r="AB91" s="1" t="str"/>
      <c r="AC91" s="1" t="str"/>
      <c r="AD91" s="111">
        <f>IF(AND(OR(E91=1,E91=0),G91=1),J91,"")</f>
      </c>
      <c r="AE91" s="111">
        <f>IF(AND(OR(E91=1,E91=0),G91=2),J91,"")</f>
      </c>
      <c r="AF91" s="111">
        <f>IF(AND(OR(E91=1,E91=0),G91=3),J91,"")</f>
      </c>
      <c r="AG91" s="1" t="str"/>
      <c r="AH91" s="1" t="str"/>
      <c r="AI91" s="1" t="str"/>
      <c r="AJ91" s="111">
        <f>IF(AND(OR(E91=2,E91=0),G91=1),J91,"")</f>
      </c>
      <c r="AK91" s="111">
        <f>IF(AND(OR(E91=2,E91=0),G91=2),J91,"")</f>
      </c>
      <c r="AL91" s="111">
        <f>IF(AND(OR(E91=2,E91=0),G91=3),J91,"")</f>
      </c>
      <c r="AM91" s="1" t="str"/>
      <c r="AN91" s="1" t="str"/>
      <c r="AO91" s="1" t="str"/>
      <c r="AP91" s="111">
        <f>IF(AND(OR(E91=3,E91=0),G91=1),J91,"")</f>
      </c>
      <c r="AQ91" s="111">
        <f>IF(AND(OR(E91=3,E91=0),G91=2),J91,"")</f>
      </c>
      <c r="AR91" s="111">
        <f>IF(AND(OR(E91=3,E91=0),G91=3),J91,"")</f>
      </c>
    </row>
    <row customHeight="true" ht="19" r="92">
      <c r="A92" s="75" t="str">
        <v>夏を楽しみましょう！（红购物）</v>
      </c>
      <c r="B92" s="75" t="str"/>
      <c r="C92" s="75" t="str"/>
      <c r="D92" s="116">
        <f>持有情况!H52-ROW()*1e-05</f>
      </c>
      <c r="E92" s="116">
        <v>1</v>
      </c>
      <c r="F92" s="117">
        <v>0</v>
      </c>
      <c r="G92" s="116">
        <v>1</v>
      </c>
      <c r="H92" s="116">
        <v>1</v>
      </c>
      <c r="I92" s="111" t="str">
        <v>红购物</v>
      </c>
      <c r="J92" s="116">
        <f>INT((8.5/100)*路线!B13+17*路线!B21+11*路线!B39+40)-ROW()*1e-05</f>
      </c>
      <c r="K92" s="1" t="str"/>
      <c r="L92" s="111">
        <f>IF(AND(OR(E92=1,E92=0),G92=1),D92,"")</f>
      </c>
      <c r="M92" s="111">
        <f>IF(AND(OR(E92=2,E92=0),G92=1),D92,"")</f>
      </c>
      <c r="N92" s="111">
        <f>IF(AND(OR(E92=3,E92=0),G92=1),D92,"")</f>
      </c>
      <c r="O92" s="111">
        <f>IF(AND(OR(E92=1,E92=0),G92=2),D92,"")</f>
      </c>
      <c r="P92" s="111">
        <f>IF(AND(OR(E92=2,E92=0),G92=2),D92,"")</f>
      </c>
      <c r="Q92" s="111">
        <f>IF(AND(OR(E92=3,E92=0),G92=2),D92,"")</f>
      </c>
      <c r="R92" s="111">
        <f>IF(AND(OR(E92=1,E92=0),G92=3),D92,"")</f>
      </c>
      <c r="S92" s="111">
        <f>IF(AND(OR(E92=2,E92=0),G92=3),D92,"")</f>
      </c>
      <c r="T92" s="111">
        <f>IF(AND(OR(E92=3,E92=0),G92=3),D92,"")</f>
      </c>
      <c r="U92" s="1" t="str"/>
      <c r="V92" s="1" t="str"/>
      <c r="W92" s="1" t="str"/>
      <c r="X92" s="1" t="str"/>
      <c r="Y92" s="1" t="str"/>
      <c r="Z92" s="1" t="str"/>
      <c r="AA92" s="1" t="str"/>
      <c r="AB92" s="1" t="str"/>
      <c r="AC92" s="1" t="str"/>
      <c r="AD92" s="111">
        <f>IF(AND(OR(E92=1,E92=0),G92=1),J92,"")</f>
      </c>
      <c r="AE92" s="111">
        <f>IF(AND(OR(E92=1,E92=0),G92=2),J92,"")</f>
      </c>
      <c r="AF92" s="111">
        <f>IF(AND(OR(E92=1,E92=0),G92=3),J92,"")</f>
      </c>
      <c r="AG92" s="1" t="str"/>
      <c r="AH92" s="1" t="str"/>
      <c r="AI92" s="1" t="str"/>
      <c r="AJ92" s="111">
        <f>IF(AND(OR(E92=2,E92=0),G92=1),J92,"")</f>
      </c>
      <c r="AK92" s="111">
        <f>IF(AND(OR(E92=2,E92=0),G92=2),J92,"")</f>
      </c>
      <c r="AL92" s="111">
        <f>IF(AND(OR(E92=2,E92=0),G92=3),J92,"")</f>
      </c>
      <c r="AM92" s="1" t="str"/>
      <c r="AN92" s="1" t="str"/>
      <c r="AO92" s="1" t="str"/>
      <c r="AP92" s="111">
        <f>IF(AND(OR(E92=3,E92=0),G92=1),J92,"")</f>
      </c>
      <c r="AQ92" s="111">
        <f>IF(AND(OR(E92=3,E92=0),G92=2),J92,"")</f>
      </c>
      <c r="AR92" s="111">
        <f>IF(AND(OR(E92=3,E92=0),G92=3),J92,"")</f>
      </c>
    </row>
    <row customHeight="true" ht="19" r="93">
      <c r="A93" s="99" t="str">
        <v>千奈の恩返し（恩返）</v>
      </c>
      <c r="B93" s="99" t="str"/>
      <c r="C93" s="99" t="str"/>
      <c r="D93" s="116">
        <f>持有情况!AV52-ROW()*1e-05</f>
      </c>
      <c r="E93" s="116">
        <v>2</v>
      </c>
      <c r="F93" s="117">
        <v>0</v>
      </c>
      <c r="G93" s="116">
        <v>2</v>
      </c>
      <c r="H93" s="116">
        <v>1</v>
      </c>
      <c r="I93" s="111" t="str">
        <v>恩返</v>
      </c>
      <c r="J93" s="116">
        <f>INT((6.4/100)*路线!B13+8*路线!B35+11*路线!B34+13*路线!B21+30)-ROW()*1e-05</f>
      </c>
      <c r="K93" s="1" t="str"/>
      <c r="L93" s="111">
        <f>IF(AND(OR(E93=1,E93=0),G93=1),D93,"")</f>
      </c>
      <c r="M93" s="111">
        <f>IF(AND(OR(E93=2,E93=0),G93=1),D93,"")</f>
      </c>
      <c r="N93" s="111">
        <f>IF(AND(OR(E93=3,E93=0),G93=1),D93,"")</f>
      </c>
      <c r="O93" s="111">
        <f>IF(AND(OR(E93=1,E93=0),G93=2),D93,"")</f>
      </c>
      <c r="P93" s="111">
        <f>IF(AND(OR(E93=2,E93=0),G93=2),D93,"")</f>
      </c>
      <c r="Q93" s="111">
        <f>IF(AND(OR(E93=3,E93=0),G93=2),D93,"")</f>
      </c>
      <c r="R93" s="111">
        <f>IF(AND(OR(E93=1,E93=0),G93=3),D93,"")</f>
      </c>
      <c r="S93" s="111">
        <f>IF(AND(OR(E93=2,E93=0),G93=3),D93,"")</f>
      </c>
      <c r="T93" s="111">
        <f>IF(AND(OR(E93=3,E93=0),G93=3),D93,"")</f>
      </c>
      <c r="U93" s="1" t="str"/>
      <c r="V93" s="1" t="str"/>
      <c r="W93" s="1" t="str"/>
      <c r="X93" s="1" t="str"/>
      <c r="Y93" s="1" t="str"/>
      <c r="Z93" s="1" t="str"/>
      <c r="AA93" s="1" t="str"/>
      <c r="AB93" s="1" t="str"/>
      <c r="AC93" s="1" t="str"/>
      <c r="AD93" s="111">
        <f>IF(AND(OR(E93=1,E93=0),G93=1),J93,"")</f>
      </c>
      <c r="AE93" s="111">
        <f>IF(AND(OR(E93=1,E93=0),G93=2),J93,"")</f>
      </c>
      <c r="AF93" s="111">
        <f>IF(AND(OR(E93=1,E93=0),G93=3),J93,"")</f>
      </c>
      <c r="AG93" s="1" t="str"/>
      <c r="AH93" s="1" t="str"/>
      <c r="AI93" s="1" t="str"/>
      <c r="AJ93" s="111">
        <f>IF(AND(OR(E93=2,E93=0),G93=1),J93,"")</f>
      </c>
      <c r="AK93" s="111">
        <f>IF(AND(OR(E93=2,E93=0),G93=2),J93,"")</f>
      </c>
      <c r="AL93" s="111">
        <f>IF(AND(OR(E93=2,E93=0),G93=3),J93,"")</f>
      </c>
      <c r="AM93" s="1" t="str"/>
      <c r="AN93" s="1" t="str"/>
      <c r="AO93" s="1" t="str"/>
      <c r="AP93" s="111">
        <f>IF(AND(OR(E93=3,E93=0),G93=1),J93,"")</f>
      </c>
      <c r="AQ93" s="111">
        <f>IF(AND(OR(E93=3,E93=0),G93=2),J93,"")</f>
      </c>
      <c r="AR93" s="111">
        <f>IF(AND(OR(E93=3,E93=0),G93=3),J93,"")</f>
      </c>
    </row>
    <row customHeight="true" ht="19" r="94">
      <c r="A94" s="75" t="str">
        <v>今はあえて、背を向けて（刺猬）</v>
      </c>
      <c r="B94" s="75" t="str"/>
      <c r="C94" s="75" t="str"/>
      <c r="D94" s="116">
        <f>'持有情况'!AL28-ROW()*0.00001</f>
      </c>
      <c r="E94" s="117">
        <v>0</v>
      </c>
      <c r="F94" s="116">
        <v>1</v>
      </c>
      <c r="G94" s="116">
        <v>1</v>
      </c>
      <c r="H94" s="117">
        <v>0</v>
      </c>
      <c r="I94" s="1" t="str"/>
      <c r="J94" s="116">
        <f>INT((6.4/100)*'路线'!B13+17+13*'路线'!B21+30)-ROW()*0.00001</f>
      </c>
      <c r="K94" s="1" t="str"/>
      <c r="L94" s="111">
        <f>IF(AND(OR(E94=1,E94=0),G94=1),D94,"")</f>
      </c>
      <c r="M94" s="111">
        <f>IF(AND(OR(E94=2,E94=0),G94=1),D94,"")</f>
      </c>
      <c r="N94" s="111">
        <f>IF(AND(OR(E94=3,E94=0),G94=1),D94,"")</f>
      </c>
      <c r="O94" s="111">
        <f>IF(AND(OR(E94=1,E94=0),G94=2),D94,"")</f>
      </c>
      <c r="P94" s="111">
        <f>IF(AND(OR(E94=2,E94=0),G94=2),D94,"")</f>
      </c>
      <c r="Q94" s="111">
        <f>IF(AND(OR(E94=3,E94=0),G94=2),D94,"")</f>
      </c>
      <c r="R94" s="111">
        <f>IF(AND(OR(E94=1,E94=0),G94=3),D94,"")</f>
      </c>
      <c r="S94" s="111">
        <f>IF(AND(OR(E94=2,E94=0),G94=3),D94,"")</f>
      </c>
      <c r="T94" s="111">
        <f>IF(AND(OR(E94=3,E94=0),G94=3),D94,"")</f>
      </c>
      <c r="U94" s="1" t="str"/>
      <c r="V94" s="1" t="str"/>
      <c r="W94" s="1" t="str"/>
      <c r="X94" s="1" t="str"/>
      <c r="Y94" s="1" t="str"/>
      <c r="Z94" s="1" t="str"/>
      <c r="AA94" s="1" t="str"/>
      <c r="AB94" s="1" t="str"/>
      <c r="AC94" s="1" t="str"/>
      <c r="AD94" s="111">
        <f>IF(AND(OR(E94=1,E94=0),G94=1),J94,"")</f>
      </c>
      <c r="AE94" s="111">
        <f>IF(AND(OR(E94=1,E94=0),G94=2),J94,"")</f>
      </c>
      <c r="AF94" s="111">
        <f>IF(AND(OR(E94=1,E94=0),G94=3),J94,"")</f>
      </c>
      <c r="AG94" s="1" t="str"/>
      <c r="AH94" s="1" t="str"/>
      <c r="AI94" s="1" t="str"/>
      <c r="AJ94" s="111">
        <f>IF(AND(OR(E94=2,E94=0),G94=1),J94,"")</f>
      </c>
      <c r="AK94" s="111">
        <f>IF(AND(OR(E94=2,E94=0),G94=2),J94,"")</f>
      </c>
      <c r="AL94" s="111">
        <f>IF(AND(OR(E94=2,E94=0),G94=3),J94,"")</f>
      </c>
      <c r="AM94" s="1" t="str"/>
      <c r="AN94" s="1" t="str"/>
      <c r="AO94" s="1" t="str"/>
      <c r="AP94" s="111">
        <f>IF(AND(OR(E94=3,E94=0),G94=1),J94,"")</f>
      </c>
      <c r="AQ94" s="111">
        <f>IF(AND(OR(E94=3,E94=0),G94=2),J94,"")</f>
      </c>
      <c r="AR94" s="111">
        <f>IF(AND(OR(E94=3,E94=0),G94=3),J94,"")</f>
      </c>
    </row>
    <row customHeight="true" ht="19" r="95">
      <c r="A95" s="99" t="str">
        <v>ふわふわでワクワク（蓝饮料）</v>
      </c>
      <c r="B95" s="99" t="str"/>
      <c r="C95" s="99" t="str"/>
      <c r="D95" s="116">
        <f>'持有情况'!AV16-ROW()*0.00001</f>
      </c>
      <c r="E95" s="117">
        <v>0</v>
      </c>
      <c r="F95" s="116">
        <v>1</v>
      </c>
      <c r="G95" s="116">
        <v>2</v>
      </c>
      <c r="H95" s="117">
        <v>0</v>
      </c>
      <c r="I95" s="1" t="str"/>
      <c r="J95" s="116">
        <f>INT((6.4/100)*'路线'!B13+17+13*'路线'!B21+30)-ROW()*0.00001</f>
      </c>
      <c r="K95" s="1" t="str"/>
      <c r="L95" s="111">
        <f>IF(AND(OR(E95=1,E95=0),G95=1),D95,"")</f>
      </c>
      <c r="M95" s="111">
        <f>IF(AND(OR(E95=2,E95=0),G95=1),D95,"")</f>
      </c>
      <c r="N95" s="111">
        <f>IF(AND(OR(E95=3,E95=0),G95=1),D95,"")</f>
      </c>
      <c r="O95" s="111">
        <f>IF(AND(OR(E95=1,E95=0),G95=2),D95,"")</f>
      </c>
      <c r="P95" s="111">
        <f>IF(AND(OR(E95=2,E95=0),G95=2),D95,"")</f>
      </c>
      <c r="Q95" s="111">
        <f>IF(AND(OR(E95=3,E95=0),G95=2),D95,"")</f>
      </c>
      <c r="R95" s="111">
        <f>IF(AND(OR(E95=1,E95=0),G95=3),D95,"")</f>
      </c>
      <c r="S95" s="111">
        <f>IF(AND(OR(E95=2,E95=0),G95=3),D95,"")</f>
      </c>
      <c r="T95" s="111">
        <f>IF(AND(OR(E95=3,E95=0),G95=3),D95,"")</f>
      </c>
      <c r="U95" s="1" t="str"/>
      <c r="V95" s="1" t="str"/>
      <c r="W95" s="1" t="str"/>
      <c r="X95" s="1" t="str"/>
      <c r="Y95" s="1" t="str"/>
      <c r="Z95" s="1" t="str"/>
      <c r="AA95" s="1" t="str"/>
      <c r="AB95" s="1" t="str"/>
      <c r="AC95" s="1" t="str"/>
      <c r="AD95" s="111">
        <f>IF(AND(OR(E95=1,E95=0),G95=1),J95,"")</f>
      </c>
      <c r="AE95" s="111">
        <f>IF(AND(OR(E95=1,E95=0),G95=2),J95,"")</f>
      </c>
      <c r="AF95" s="111">
        <f>IF(AND(OR(E95=1,E95=0),G95=3),J95,"")</f>
      </c>
      <c r="AG95" s="1" t="str"/>
      <c r="AH95" s="1" t="str"/>
      <c r="AI95" s="1" t="str"/>
      <c r="AJ95" s="111">
        <f>IF(AND(OR(E95=2,E95=0),G95=1),J95,"")</f>
      </c>
      <c r="AK95" s="111">
        <f>IF(AND(OR(E95=2,E95=0),G95=2),J95,"")</f>
      </c>
      <c r="AL95" s="111">
        <f>IF(AND(OR(E95=2,E95=0),G95=3),J95,"")</f>
      </c>
      <c r="AM95" s="1" t="str"/>
      <c r="AN95" s="1" t="str"/>
      <c r="AO95" s="1" t="str"/>
      <c r="AP95" s="111">
        <f>IF(AND(OR(E95=3,E95=0),G95=1),J95,"")</f>
      </c>
      <c r="AQ95" s="111">
        <f>IF(AND(OR(E95=3,E95=0),G95=2),J95,"")</f>
      </c>
      <c r="AR95" s="111">
        <f>IF(AND(OR(E95=3,E95=0),G95=3),J95,"")</f>
      </c>
    </row>
    <row customHeight="true" ht="19" r="96">
      <c r="A96" s="86" t="str">
        <v>体当たりのラブコール（过肩摔）</v>
      </c>
      <c r="B96" s="86" t="str"/>
      <c r="C96" s="86" t="str"/>
      <c r="D96" s="116">
        <f>'持有情况'!BF28-ROW()*0.00001</f>
      </c>
      <c r="E96" s="117">
        <v>0</v>
      </c>
      <c r="F96" s="116">
        <v>1</v>
      </c>
      <c r="G96" s="116">
        <v>3</v>
      </c>
      <c r="H96" s="116">
        <v>1</v>
      </c>
      <c r="I96" s="111" t="str">
        <v>过肩摔</v>
      </c>
      <c r="J96" s="116">
        <f>IF('路线'!C6="计算",INT((6.4/100)*'路线'!B13+17+13*'路线'!B21+30+20)-ROW()*0.00001,INT((6.4/100)*'路线'!B13+17+13*'路线'!B21+30)-ROW()*0.00001)</f>
      </c>
      <c r="K96" s="1" t="str"/>
      <c r="L96" s="111">
        <f>IF(AND(OR(E96=1,E96=0),G96=1),D96,"")</f>
      </c>
      <c r="M96" s="111">
        <f>IF(AND(OR(E96=2,E96=0),G96=1),D96,"")</f>
      </c>
      <c r="N96" s="111">
        <f>IF(AND(OR(E96=3,E96=0),G96=1),D96,"")</f>
      </c>
      <c r="O96" s="111">
        <f>IF(AND(OR(E96=1,E96=0),G96=2),D96,"")</f>
      </c>
      <c r="P96" s="111">
        <f>IF(AND(OR(E96=2,E96=0),G96=2),D96,"")</f>
      </c>
      <c r="Q96" s="111">
        <f>IF(AND(OR(E96=3,E96=0),G96=2),D96,"")</f>
      </c>
      <c r="R96" s="111">
        <f>IF(AND(OR(E96=1,E96=0),G96=3),D96,"")</f>
      </c>
      <c r="S96" s="111">
        <f>IF(AND(OR(E96=2,E96=0),G96=3),D96,"")</f>
      </c>
      <c r="T96" s="111">
        <f>IF(AND(OR(E96=3,E96=0),G96=3),D96,"")</f>
      </c>
      <c r="U96" s="1" t="str"/>
      <c r="V96" s="1" t="str"/>
      <c r="W96" s="1" t="str"/>
      <c r="X96" s="1" t="str"/>
      <c r="Y96" s="1" t="str"/>
      <c r="Z96" s="1" t="str"/>
      <c r="AA96" s="1" t="str"/>
      <c r="AB96" s="1" t="str"/>
      <c r="AC96" s="1" t="str"/>
      <c r="AD96" s="111">
        <f>IF(AND(OR(E96=1,E96=0),G96=1),J96,"")</f>
      </c>
      <c r="AE96" s="111">
        <f>IF(AND(OR(E96=1,E96=0),G96=2),J96,"")</f>
      </c>
      <c r="AF96" s="111">
        <f>IF(AND(OR(E96=1,E96=0),G96=3),J96,"")</f>
      </c>
      <c r="AG96" s="1" t="str"/>
      <c r="AH96" s="1" t="str"/>
      <c r="AI96" s="1" t="str"/>
      <c r="AJ96" s="111">
        <f>IF(AND(OR(E96=2,E96=0),G96=1),J96,"")</f>
      </c>
      <c r="AK96" s="111">
        <f>IF(AND(OR(E96=2,E96=0),G96=2),J96,"")</f>
      </c>
      <c r="AL96" s="111">
        <f>IF(AND(OR(E96=2,E96=0),G96=3),J96,"")</f>
      </c>
      <c r="AM96" s="1" t="str"/>
      <c r="AN96" s="1" t="str"/>
      <c r="AO96" s="1" t="str"/>
      <c r="AP96" s="111">
        <f>IF(AND(OR(E96=3,E96=0),G96=1),J96,"")</f>
      </c>
      <c r="AQ96" s="111">
        <f>IF(AND(OR(E96=3,E96=0),G96=2),J96,"")</f>
      </c>
      <c r="AR96" s="111">
        <f>IF(AND(OR(E96=3,E96=0),G96=3),J96,"")</f>
      </c>
    </row>
    <row customHeight="true" ht="19" r="97">
      <c r="A97" s="75" t="str">
        <v>一時休戦です（一时休战）</v>
      </c>
      <c r="B97" s="75" t="str"/>
      <c r="C97" s="75" t="str"/>
      <c r="D97" s="116">
        <f>'持有情况'!H46-ROW()*0.00001</f>
      </c>
      <c r="E97" s="116">
        <v>1</v>
      </c>
      <c r="F97" s="117">
        <v>0</v>
      </c>
      <c r="G97" s="116">
        <v>1</v>
      </c>
      <c r="H97" s="116">
        <v>1</v>
      </c>
      <c r="I97" s="111" t="str">
        <v>一时休战</v>
      </c>
      <c r="J97" s="116">
        <f>IF('路线'!C6="计算",INT((8.5/100)*'路线'!B13+17*'路线'!B21+17*'路线'!B34+40+20)-ROW()*0.00001,INT((8.5/100)*'路线'!B13+17*'路线'!B21+17*'路线'!B34+40)-ROW()*0.00001)</f>
      </c>
      <c r="K97" s="1" t="str"/>
      <c r="L97" s="111">
        <f>IF(AND(OR(E97=1,E97=0),G97=1),D97,"")</f>
      </c>
      <c r="M97" s="111">
        <f>IF(AND(OR(E97=2,E97=0),G97=1),D97,"")</f>
      </c>
      <c r="N97" s="111">
        <f>IF(AND(OR(E97=3,E97=0),G97=1),D97,"")</f>
      </c>
      <c r="O97" s="111">
        <f>IF(AND(OR(E97=1,E97=0),G97=2),D97,"")</f>
      </c>
      <c r="P97" s="111">
        <f>IF(AND(OR(E97=2,E97=0),G97=2),D97,"")</f>
      </c>
      <c r="Q97" s="111">
        <f>IF(AND(OR(E97=3,E97=0),G97=2),D97,"")</f>
      </c>
      <c r="R97" s="111">
        <f>IF(AND(OR(E97=1,E97=0),G97=3),D97,"")</f>
      </c>
      <c r="S97" s="111">
        <f>IF(AND(OR(E97=2,E97=0),G97=3),D97,"")</f>
      </c>
      <c r="T97" s="111">
        <f>IF(AND(OR(E97=3,E97=0),G97=3),D97,"")</f>
      </c>
      <c r="U97" s="1" t="str"/>
      <c r="V97" s="1" t="str"/>
      <c r="W97" s="1" t="str"/>
      <c r="X97" s="1" t="str"/>
      <c r="Y97" s="1" t="str"/>
      <c r="Z97" s="1" t="str"/>
      <c r="AA97" s="1" t="str"/>
      <c r="AB97" s="1" t="str"/>
      <c r="AC97" s="1" t="str"/>
      <c r="AD97" s="111">
        <f>IF(AND(OR(E97=1,E97=0),G97=1),J97,"")</f>
      </c>
      <c r="AE97" s="111">
        <f>IF(AND(OR(E97=1,E97=0),G97=2),J97,"")</f>
      </c>
      <c r="AF97" s="111">
        <f>IF(AND(OR(E97=1,E97=0),G97=3),J97,"")</f>
      </c>
      <c r="AG97" s="1" t="str"/>
      <c r="AH97" s="1" t="str"/>
      <c r="AI97" s="1" t="str"/>
      <c r="AJ97" s="111">
        <f>IF(AND(OR(E97=2,E97=0),G97=1),J97,"")</f>
      </c>
      <c r="AK97" s="111">
        <f>IF(AND(OR(E97=2,E97=0),G97=2),J97,"")</f>
      </c>
      <c r="AL97" s="111">
        <f>IF(AND(OR(E97=2,E97=0),G97=3),J97,"")</f>
      </c>
      <c r="AM97" s="1" t="str"/>
      <c r="AN97" s="1" t="str"/>
      <c r="AO97" s="1" t="str"/>
      <c r="AP97" s="111">
        <f>IF(AND(OR(E97=3,E97=0),G97=1),J97,"")</f>
      </c>
      <c r="AQ97" s="111">
        <f>IF(AND(OR(E97=3,E97=0),G97=2),J97,"")</f>
      </c>
      <c r="AR97" s="111">
        <f>IF(AND(OR(E97=3,E97=0),G97=3),J97,"")</f>
      </c>
    </row>
    <row customHeight="true" ht="19" r="98">
      <c r="A98" s="99" t="str">
        <v>ディカプルエックスエル！（圣诞斯大广）</v>
      </c>
      <c r="B98" s="99" t="str"/>
      <c r="C98" s="99" t="str"/>
      <c r="D98" s="116">
        <f>'持有情况'!AV70-ROW()*0.00001</f>
      </c>
      <c r="E98" s="116">
        <v>1</v>
      </c>
      <c r="F98" s="117">
        <v>0</v>
      </c>
      <c r="G98" s="116">
        <v>2</v>
      </c>
      <c r="H98" s="116">
        <v>1</v>
      </c>
      <c r="I98" s="111" t="str">
        <v>圣诞斯大广</v>
      </c>
      <c r="J98" s="116">
        <f>INT((6.4/100)*'路线'!B13+8*'路线'!B33+13*'路线'!B21+30)-ROW()*0.00001</f>
      </c>
      <c r="K98" s="1" t="str"/>
      <c r="L98" s="111">
        <f>IF(AND(OR(E98=1,E98=0),G98=1),D98,"")</f>
      </c>
      <c r="M98" s="111">
        <f>IF(AND(OR(E98=2,E98=0),G98=1),D98,"")</f>
      </c>
      <c r="N98" s="111">
        <f>IF(AND(OR(E98=3,E98=0),G98=1),D98,"")</f>
      </c>
      <c r="O98" s="111">
        <f>IF(AND(OR(E98=1,E98=0),G98=2),D98,"")</f>
      </c>
      <c r="P98" s="111">
        <f>IF(AND(OR(E98=2,E98=0),G98=2),D98,"")</f>
      </c>
      <c r="Q98" s="111">
        <f>IF(AND(OR(E98=3,E98=0),G98=2),D98,"")</f>
      </c>
      <c r="R98" s="111">
        <f>IF(AND(OR(E98=1,E98=0),G98=3),D98,"")</f>
      </c>
      <c r="S98" s="111">
        <f>IF(AND(OR(E98=2,E98=0),G98=3),D98,"")</f>
      </c>
      <c r="T98" s="111">
        <f>IF(AND(OR(E98=3,E98=0),G98=3),D98,"")</f>
      </c>
      <c r="U98" s="1" t="str"/>
      <c r="V98" s="1" t="str"/>
      <c r="W98" s="1" t="str"/>
      <c r="X98" s="1" t="str"/>
      <c r="Y98" s="1" t="str"/>
      <c r="Z98" s="1" t="str"/>
      <c r="AA98" s="1" t="str"/>
      <c r="AB98" s="1" t="str"/>
      <c r="AC98" s="1" t="str"/>
      <c r="AD98" s="111">
        <f>IF(AND(OR(E98=1,E98=0),G98=1),J98,"")</f>
      </c>
      <c r="AE98" s="111">
        <f>IF(AND(OR(E98=1,E98=0),G98=2),J98,"")</f>
      </c>
      <c r="AF98" s="111">
        <f>IF(AND(OR(E98=1,E98=0),G98=3),J98,"")</f>
      </c>
      <c r="AG98" s="1" t="str"/>
      <c r="AH98" s="1" t="str"/>
      <c r="AI98" s="1" t="str"/>
      <c r="AJ98" s="111">
        <f>IF(AND(OR(E98=2,E98=0),G98=1),J98,"")</f>
      </c>
      <c r="AK98" s="111">
        <f>IF(AND(OR(E98=2,E98=0),G98=2),J98,"")</f>
      </c>
      <c r="AL98" s="111">
        <f>IF(AND(OR(E98=2,E98=0),G98=3),J98,"")</f>
      </c>
      <c r="AM98" s="1" t="str"/>
      <c r="AN98" s="1" t="str"/>
      <c r="AO98" s="1" t="str"/>
      <c r="AP98" s="111">
        <f>IF(AND(OR(E98=3,E98=0),G98=1),J98,"")</f>
      </c>
      <c r="AQ98" s="111">
        <f>IF(AND(OR(E98=3,E98=0),G98=2),J98,"")</f>
      </c>
      <c r="AR98" s="111">
        <f>IF(AND(OR(E98=3,E98=0),G98=3),J98,"")</f>
      </c>
    </row>
    <row customHeight="true" ht="19" r="99">
      <c r="A99" s="75" t="str">
        <v>のらりくらりしっかり</v>
      </c>
      <c r="B99" s="75" t="str"/>
      <c r="C99" s="75" t="str"/>
      <c r="D99" s="116">
        <f>'持有情况'!AL22-ROW()*0.00001</f>
      </c>
      <c r="E99" s="117">
        <v>0</v>
      </c>
      <c r="F99" s="117">
        <v>0</v>
      </c>
      <c r="G99" s="116">
        <v>1</v>
      </c>
      <c r="H99" s="116">
        <v>1</v>
      </c>
      <c r="I99" s="1" t="str"/>
      <c r="J99" s="116">
        <f>IF('路线'!C6="计算",INT((6.4/100)*'路线'!B13+11*'路线'!B34+4*'路线'!B20+30+20)-ROW()*0.00001,INT((6.4/100)*'路线'!B13+11*'路线'!B34+4*'路线'!B20+30)-ROW()*0.00001)</f>
      </c>
      <c r="K99" s="1" t="str"/>
      <c r="L99" s="111">
        <f>IF(AND(OR(E99=1,E99=0),G99=1),D99,"")</f>
      </c>
      <c r="M99" s="111">
        <f>IF(AND(OR(E99=2,E99=0),G99=1),D99,"")</f>
      </c>
      <c r="N99" s="111">
        <f>IF(AND(OR(E99=3,E99=0),G99=1),D99,"")</f>
      </c>
      <c r="O99" s="111">
        <f>IF(AND(OR(E99=1,E99=0),G99=2),D99,"")</f>
      </c>
      <c r="P99" s="111">
        <f>IF(AND(OR(E99=2,E99=0),G99=2),D99,"")</f>
      </c>
      <c r="Q99" s="111">
        <f>IF(AND(OR(E99=3,E99=0),G99=2),D99,"")</f>
      </c>
      <c r="R99" s="111">
        <f>IF(AND(OR(E99=1,E99=0),G99=3),D99,"")</f>
      </c>
      <c r="S99" s="111">
        <f>IF(AND(OR(E99=2,E99=0),G99=3),D99,"")</f>
      </c>
      <c r="T99" s="111">
        <f>IF(AND(OR(E99=3,E99=0),G99=3),D99,"")</f>
      </c>
      <c r="U99" s="1" t="str"/>
      <c r="V99" s="1" t="str"/>
      <c r="W99" s="1" t="str"/>
      <c r="X99" s="1" t="str"/>
      <c r="Y99" s="1" t="str"/>
      <c r="Z99" s="1" t="str"/>
      <c r="AA99" s="1" t="str"/>
      <c r="AB99" s="1" t="str"/>
      <c r="AC99" s="1" t="str"/>
      <c r="AD99" s="111">
        <f>IF(AND(OR(E99=1,E99=0),G99=1),J99,"")</f>
      </c>
      <c r="AE99" s="111">
        <f>IF(AND(OR(E99=1,E99=0),G99=2),J99,"")</f>
      </c>
      <c r="AF99" s="111">
        <f>IF(AND(OR(E99=1,E99=0),G99=3),J99,"")</f>
      </c>
      <c r="AG99" s="1" t="str"/>
      <c r="AH99" s="1" t="str"/>
      <c r="AI99" s="1" t="str"/>
      <c r="AJ99" s="111">
        <f>IF(AND(OR(E99=2,E99=0),G99=1),J99,"")</f>
      </c>
      <c r="AK99" s="111">
        <f>IF(AND(OR(E99=2,E99=0),G99=2),J99,"")</f>
      </c>
      <c r="AL99" s="111">
        <f>IF(AND(OR(E99=2,E99=0),G99=3),J99,"")</f>
      </c>
      <c r="AM99" s="1" t="str"/>
      <c r="AN99" s="1" t="str"/>
      <c r="AO99" s="1" t="str"/>
      <c r="AP99" s="111">
        <f>IF(AND(OR(E99=3,E99=0),G99=1),J99,"")</f>
      </c>
      <c r="AQ99" s="111">
        <f>IF(AND(OR(E99=3,E99=0),G99=2),J99,"")</f>
      </c>
      <c r="AR99" s="111">
        <f>IF(AND(OR(E99=3,E99=0),G99=3),J99,"")</f>
      </c>
    </row>
    <row customHeight="true" ht="19" r="100">
      <c r="A100" s="99" t="str">
        <v>魅惑の大腿四頭筋</v>
      </c>
      <c r="B100" s="99" t="str"/>
      <c r="C100" s="99" t="str"/>
      <c r="D100" s="116">
        <f>'持有情况'!AV22-ROW()*0.00001</f>
      </c>
      <c r="E100" s="117">
        <v>0</v>
      </c>
      <c r="F100" s="117">
        <v>0</v>
      </c>
      <c r="G100" s="116">
        <v>2</v>
      </c>
      <c r="H100" s="116">
        <v>1</v>
      </c>
      <c r="I100" s="1" t="str"/>
      <c r="J100" s="116">
        <f>IF('路线'!C6="计算",INT((6.4/100)*'路线'!B13+11*'路线'!B34+4*'路线'!B20+30+20)-ROW()*0.00001,INT((6.4/100)*'路线'!B13+11*'路线'!B34+4*'路线'!B20+30)-ROW()*0.00001)</f>
      </c>
      <c r="K100" s="1" t="str"/>
      <c r="L100" s="111">
        <f>IF(AND(OR(E100=1,E100=0),G100=1),D100,"")</f>
      </c>
      <c r="M100" s="111">
        <f>IF(AND(OR(E100=2,E100=0),G100=1),D100,"")</f>
      </c>
      <c r="N100" s="111">
        <f>IF(AND(OR(E100=3,E100=0),G100=1),D100,"")</f>
      </c>
      <c r="O100" s="111">
        <f>IF(AND(OR(E100=1,E100=0),G100=2),D100,"")</f>
      </c>
      <c r="P100" s="111">
        <f>IF(AND(OR(E100=2,E100=0),G100=2),D100,"")</f>
      </c>
      <c r="Q100" s="111">
        <f>IF(AND(OR(E100=3,E100=0),G100=2),D100,"")</f>
      </c>
      <c r="R100" s="111">
        <f>IF(AND(OR(E100=1,E100=0),G100=3),D100,"")</f>
      </c>
      <c r="S100" s="111">
        <f>IF(AND(OR(E100=2,E100=0),G100=3),D100,"")</f>
      </c>
      <c r="T100" s="111">
        <f>IF(AND(OR(E100=3,E100=0),G100=3),D100,"")</f>
      </c>
      <c r="U100" s="1" t="str"/>
      <c r="V100" s="1" t="str"/>
      <c r="W100" s="1" t="str"/>
      <c r="X100" s="1" t="str"/>
      <c r="Y100" s="1" t="str"/>
      <c r="Z100" s="1" t="str"/>
      <c r="AA100" s="1" t="str"/>
      <c r="AB100" s="1" t="str"/>
      <c r="AC100" s="1" t="str"/>
      <c r="AD100" s="111">
        <f>IF(AND(OR(E100=1,E100=0),G100=1),J100,"")</f>
      </c>
      <c r="AE100" s="111">
        <f>IF(AND(OR(E100=1,E100=0),G100=2),J100,"")</f>
      </c>
      <c r="AF100" s="111">
        <f>IF(AND(OR(E100=1,E100=0),G100=3),J100,"")</f>
      </c>
      <c r="AG100" s="1" t="str"/>
      <c r="AH100" s="1" t="str"/>
      <c r="AI100" s="1" t="str"/>
      <c r="AJ100" s="111">
        <f>IF(AND(OR(E100=2,E100=0),G100=1),J100,"")</f>
      </c>
      <c r="AK100" s="111">
        <f>IF(AND(OR(E100=2,E100=0),G100=2),J100,"")</f>
      </c>
      <c r="AL100" s="111">
        <f>IF(AND(OR(E100=2,E100=0),G100=3),J100,"")</f>
      </c>
      <c r="AM100" s="1" t="str"/>
      <c r="AN100" s="1" t="str"/>
      <c r="AO100" s="1" t="str"/>
      <c r="AP100" s="111">
        <f>IF(AND(OR(E100=3,E100=0),G100=1),J100,"")</f>
      </c>
      <c r="AQ100" s="111">
        <f>IF(AND(OR(E100=3,E100=0),G100=2),J100,"")</f>
      </c>
      <c r="AR100" s="111">
        <f>IF(AND(OR(E100=3,E100=0),G100=3),J100,"")</f>
      </c>
    </row>
    <row customHeight="true" ht="19" r="101">
      <c r="A101" s="86" t="str">
        <v>ひとりごとです（汤达人）</v>
      </c>
      <c r="B101" s="86" t="str"/>
      <c r="C101" s="86" t="str"/>
      <c r="D101" s="116">
        <f>'持有情况'!AB112-ROW()*0.00001</f>
      </c>
      <c r="E101" s="116">
        <v>3</v>
      </c>
      <c r="F101" s="117">
        <v>0</v>
      </c>
      <c r="G101" s="116">
        <v>3</v>
      </c>
      <c r="H101" s="117">
        <v>0</v>
      </c>
      <c r="I101" s="1" t="str"/>
      <c r="J101" s="116">
        <f>IF('路线'!C6="计算",INT(60+21*IF('路线'!B38&lt;=3,'路线'!B38,3)+17*'路线'!B21+22*IF('路线'!B37&lt;=3,'路线'!B37,3)+40+40),INT(60+21*IF('路线'!B38&lt;=3,'路线'!B38,3)+17*'路线'!B21+22*IF('路线'!B37&lt;=3,'路线'!B37,3)+40))-ROW()*0.00001</f>
      </c>
      <c r="K101" s="1" t="str"/>
      <c r="L101" s="111">
        <f>IF(AND(OR(E101=1,E101=0),G101=1),D101,"")</f>
      </c>
      <c r="M101" s="111">
        <f>IF(AND(OR(E101=2,E101=0),G101=1),D101,"")</f>
      </c>
      <c r="N101" s="111">
        <f>IF(AND(OR(E101=3,E101=0),G101=1),D101,"")</f>
      </c>
      <c r="O101" s="111">
        <f>IF(AND(OR(E101=1,E101=0),G101=2),D101,"")</f>
      </c>
      <c r="P101" s="111">
        <f>IF(AND(OR(E101=2,E101=0),G101=2),D101,"")</f>
      </c>
      <c r="Q101" s="111">
        <f>IF(AND(OR(E101=3,E101=0),G101=2),D101,"")</f>
      </c>
      <c r="R101" s="111">
        <f>IF(AND(OR(E101=1,E101=0),G101=3),D101,"")</f>
      </c>
      <c r="S101" s="111">
        <f>IF(AND(OR(E101=2,E101=0),G101=3),D101,"")</f>
      </c>
      <c r="T101" s="111">
        <f>IF(AND(OR(E101=3,E101=0),G101=3),D101,"")</f>
      </c>
      <c r="U101" s="1" t="str"/>
      <c r="V101" s="1" t="str"/>
      <c r="W101" s="1" t="str"/>
      <c r="X101" s="1" t="str"/>
      <c r="Y101" s="1" t="str"/>
      <c r="Z101" s="1" t="str"/>
      <c r="AA101" s="1" t="str"/>
      <c r="AB101" s="1" t="str"/>
      <c r="AC101" s="1" t="str"/>
      <c r="AD101" s="111">
        <f>IF(AND(OR(E101=1,E101=0),G101=1),J101,"")</f>
      </c>
      <c r="AE101" s="111">
        <f>IF(AND(OR(E101=1,E101=0),G101=2),J101,"")</f>
      </c>
      <c r="AF101" s="111">
        <f>IF(AND(OR(E101=1,E101=0),G101=3),J101,"")</f>
      </c>
      <c r="AG101" s="1" t="str"/>
      <c r="AH101" s="1" t="str"/>
      <c r="AI101" s="1" t="str"/>
      <c r="AJ101" s="111">
        <f>IF(AND(OR(E101=2,E101=0),G101=1),J101,"")</f>
      </c>
      <c r="AK101" s="111">
        <f>IF(AND(OR(E101=2,E101=0),G101=2),J101,"")</f>
      </c>
      <c r="AL101" s="111">
        <f>IF(AND(OR(E101=2,E101=0),G101=3),J101,"")</f>
      </c>
      <c r="AM101" s="1" t="str"/>
      <c r="AN101" s="1" t="str"/>
      <c r="AO101" s="1" t="str"/>
      <c r="AP101" s="111">
        <f>IF(AND(OR(E101=3,E101=0),G101=1),J101,"")</f>
      </c>
      <c r="AQ101" s="111">
        <f>IF(AND(OR(E101=3,E101=0),G101=2),J101,"")</f>
      </c>
      <c r="AR101" s="111">
        <f>IF(AND(OR(E101=3,E101=0),G101=3),J101,"")</f>
      </c>
    </row>
    <row customHeight="true" ht="19" r="102">
      <c r="A102" s="86" t="str">
        <v>主菓子、甘い、薄茶、渋み（茶道）</v>
      </c>
      <c r="B102" s="86" t="str"/>
      <c r="C102" s="86" t="str"/>
      <c r="D102" s="116">
        <f>'持有情况'!BF88-ROW()*0.00001</f>
      </c>
      <c r="E102" s="116">
        <v>3</v>
      </c>
      <c r="F102" s="117">
        <v>0</v>
      </c>
      <c r="G102" s="116">
        <v>3</v>
      </c>
      <c r="H102" s="117">
        <v>0</v>
      </c>
      <c r="I102" s="1" t="str"/>
      <c r="J102" s="116">
        <f>INT(45+17+13*'路线'!B21+30)-ROW()*0.00001</f>
      </c>
      <c r="K102" s="1" t="str"/>
      <c r="L102" s="111">
        <f>IF(AND(OR(E102=1,E102=0),G102=1),D102,"")</f>
      </c>
      <c r="M102" s="111">
        <f>IF(AND(OR(E102=2,E102=0),G102=1),D102,"")</f>
      </c>
      <c r="N102" s="111">
        <f>IF(AND(OR(E102=3,E102=0),G102=1),D102,"")</f>
      </c>
      <c r="O102" s="111">
        <f>IF(AND(OR(E102=1,E102=0),G102=2),D102,"")</f>
      </c>
      <c r="P102" s="111">
        <f>IF(AND(OR(E102=2,E102=0),G102=2),D102,"")</f>
      </c>
      <c r="Q102" s="111">
        <f>IF(AND(OR(E102=3,E102=0),G102=2),D102,"")</f>
      </c>
      <c r="R102" s="111">
        <f>IF(AND(OR(E102=1,E102=0),G102=3),D102,"")</f>
      </c>
      <c r="S102" s="111">
        <f>IF(AND(OR(E102=2,E102=0),G102=3),D102,"")</f>
      </c>
      <c r="T102" s="111">
        <f>IF(AND(OR(E102=3,E102=0),G102=3),D102,"")</f>
      </c>
      <c r="U102" s="1" t="str"/>
      <c r="V102" s="1" t="str"/>
      <c r="W102" s="1" t="str"/>
      <c r="X102" s="1" t="str"/>
      <c r="Y102" s="1" t="str"/>
      <c r="Z102" s="1" t="str"/>
      <c r="AA102" s="1" t="str"/>
      <c r="AB102" s="1" t="str"/>
      <c r="AC102" s="1" t="str"/>
      <c r="AD102" s="111">
        <f>IF(AND(OR(E102=1,E102=0),G102=1),J102,"")</f>
      </c>
      <c r="AE102" s="111">
        <f>IF(AND(OR(E102=1,E102=0),G102=2),J102,"")</f>
      </c>
      <c r="AF102" s="111">
        <f>IF(AND(OR(E102=1,E102=0),G102=3),J102,"")</f>
      </c>
      <c r="AG102" s="1" t="str"/>
      <c r="AH102" s="1" t="str"/>
      <c r="AI102" s="1" t="str"/>
      <c r="AJ102" s="111">
        <f>IF(AND(OR(E102=2,E102=0),G102=1),J102,"")</f>
      </c>
      <c r="AK102" s="111">
        <f>IF(AND(OR(E102=2,E102=0),G102=2),J102,"")</f>
      </c>
      <c r="AL102" s="111">
        <f>IF(AND(OR(E102=2,E102=0),G102=3),J102,"")</f>
      </c>
      <c r="AM102" s="1" t="str"/>
      <c r="AN102" s="1" t="str"/>
      <c r="AO102" s="1" t="str"/>
      <c r="AP102" s="111">
        <f>IF(AND(OR(E102=3,E102=0),G102=1),J102,"")</f>
      </c>
      <c r="AQ102" s="111">
        <f>IF(AND(OR(E102=3,E102=0),G102=2),J102,"")</f>
      </c>
      <c r="AR102" s="111">
        <f>IF(AND(OR(E102=3,E102=0),G102=3),J102,"")</f>
      </c>
    </row>
    <row customHeight="true" ht="19" r="103">
      <c r="A103" s="86" t="str">
        <v>わたしと美鈴、超仲良し（运动会）</v>
      </c>
      <c r="B103" s="86" t="str"/>
      <c r="C103" s="86" t="str"/>
      <c r="D103" s="116">
        <f>'持有情况'!AB118-ROW()*0.00001</f>
      </c>
      <c r="E103" s="117">
        <v>0</v>
      </c>
      <c r="F103" s="117">
        <v>0</v>
      </c>
      <c r="G103" s="116">
        <v>3</v>
      </c>
      <c r="H103" s="116">
        <v>1</v>
      </c>
      <c r="I103" s="111" t="str">
        <v>运动会</v>
      </c>
      <c r="J103" s="116">
        <f>INT((8.5/100)*'路线'!B13+2*'路线'!B23+13*'路线'!B21+40)-ROW()*0.00001</f>
      </c>
      <c r="K103" s="1" t="str"/>
      <c r="L103" s="111">
        <f>IF(AND(OR(E103=1,E103=0),G103=1),D103,"")</f>
      </c>
      <c r="M103" s="111">
        <f>IF(AND(OR(E103=2,E103=0),G103=1),D103,"")</f>
      </c>
      <c r="N103" s="111">
        <f>IF(AND(OR(E103=3,E103=0),G103=1),D103,"")</f>
      </c>
      <c r="O103" s="111">
        <f>IF(AND(OR(E103=1,E103=0),G103=2),D103,"")</f>
      </c>
      <c r="P103" s="111">
        <f>IF(AND(OR(E103=2,E103=0),G103=2),D103,"")</f>
      </c>
      <c r="Q103" s="111">
        <f>IF(AND(OR(E103=3,E103=0),G103=2),D103,"")</f>
      </c>
      <c r="R103" s="111">
        <f>IF(AND(OR(E103=1,E103=0),G103=3),D103,"")</f>
      </c>
      <c r="S103" s="111">
        <f>IF(AND(OR(E103=2,E103=0),G103=3),D103,"")</f>
      </c>
      <c r="T103" s="111">
        <f>IF(AND(OR(E103=3,E103=0),G103=3),D103,"")</f>
      </c>
      <c r="U103" s="1" t="str"/>
      <c r="V103" s="1" t="str"/>
      <c r="W103" s="1" t="str"/>
      <c r="X103" s="1" t="str"/>
      <c r="Y103" s="1" t="str"/>
      <c r="Z103" s="1" t="str"/>
      <c r="AA103" s="1" t="str"/>
      <c r="AB103" s="1" t="str"/>
      <c r="AC103" s="1" t="str"/>
      <c r="AD103" s="111">
        <f>IF(AND(OR(E103=1,E103=0),G103=1),J103,"")</f>
      </c>
      <c r="AE103" s="111">
        <f>IF(AND(OR(E103=1,E103=0),G103=2),J103,"")</f>
      </c>
      <c r="AF103" s="111">
        <f>IF(AND(OR(E103=1,E103=0),G103=3),J103,"")</f>
      </c>
      <c r="AG103" s="1" t="str"/>
      <c r="AH103" s="1" t="str"/>
      <c r="AI103" s="1" t="str"/>
      <c r="AJ103" s="111">
        <f>IF(AND(OR(E103=2,E103=0),G103=1),J103,"")</f>
      </c>
      <c r="AK103" s="111">
        <f>IF(AND(OR(E103=2,E103=0),G103=2),J103,"")</f>
      </c>
      <c r="AL103" s="111">
        <f>IF(AND(OR(E103=2,E103=0),G103=3),J103,"")</f>
      </c>
      <c r="AM103" s="1" t="str"/>
      <c r="AN103" s="1" t="str"/>
      <c r="AO103" s="1" t="str"/>
      <c r="AP103" s="111">
        <f>IF(AND(OR(E103=3,E103=0),G103=1),J103,"")</f>
      </c>
      <c r="AQ103" s="111">
        <f>IF(AND(OR(E103=3,E103=0),G103=2),J103,"")</f>
      </c>
      <c r="AR103" s="111">
        <f>IF(AND(OR(E103=3,E103=0),G103=3),J103,"")</f>
      </c>
    </row>
    <row customHeight="true" ht="19" r="104">
      <c r="A104" s="99" t="str">
        <v>よくやったな、倉本。（台灯）</v>
      </c>
      <c r="B104" s="99" t="str"/>
      <c r="C104" s="99" t="str"/>
      <c r="D104" s="116">
        <f>'持有情况'!R118-ROW()*0.00001</f>
      </c>
      <c r="E104" s="116">
        <v>3</v>
      </c>
      <c r="F104" s="116">
        <v>1</v>
      </c>
      <c r="G104" s="116">
        <v>2</v>
      </c>
      <c r="H104" s="116">
        <v>1</v>
      </c>
      <c r="I104" s="111" t="str">
        <v>台灯</v>
      </c>
      <c r="J104" s="116">
        <f>INT(60+17*'路线'!B21+5*'路线'!B40+40)-ROW()*0.00001</f>
      </c>
      <c r="K104" s="1" t="str"/>
      <c r="L104" s="111">
        <f>IF(AND(OR(E104=1,E104=0),G104=1),D104,"")</f>
      </c>
      <c r="M104" s="111">
        <f>IF(AND(OR(E104=2,E104=0),G104=1),D104,"")</f>
      </c>
      <c r="N104" s="111">
        <f>IF(AND(OR(E104=3,E104=0),G104=1),D104,"")</f>
      </c>
      <c r="O104" s="111">
        <f>IF(AND(OR(E104=1,E104=0),G104=2),D104,"")</f>
      </c>
      <c r="P104" s="111">
        <f>IF(AND(OR(E104=2,E104=0),G104=2),D104,"")</f>
      </c>
      <c r="Q104" s="111">
        <f>IF(AND(OR(E104=3,E104=0),G104=2),D104,"")</f>
      </c>
      <c r="R104" s="111">
        <f>IF(AND(OR(E104=1,E104=0),G104=3),D104,"")</f>
      </c>
      <c r="S104" s="111">
        <f>IF(AND(OR(E104=2,E104=0),G104=3),D104,"")</f>
      </c>
      <c r="T104" s="111">
        <f>IF(AND(OR(E104=3,E104=0),G104=3),D104,"")</f>
      </c>
      <c r="U104" s="111">
        <f>IF(AND(OR(E104=1,E104=0),G104=1,F104=1),D104,"")</f>
      </c>
      <c r="V104" s="111">
        <f>IF(AND(OR(E104=1,E104=0),G104=2,F104=1),D104,"")</f>
      </c>
      <c r="W104" s="111">
        <f>IF(AND(OR(E104=1,E104=0),G104=3,F104=1),D104,"")</f>
      </c>
      <c r="X104" s="111">
        <f>IF(AND(OR(E104=2,E104=0),G104=1,F104=1),D104,"")</f>
      </c>
      <c r="Y104" s="111">
        <f>IF(AND(OR(E104=2,E104=0),G104=2,F104=1),D104,"")</f>
      </c>
      <c r="Z104" s="111">
        <f>IF(AND(OR(E104=2,E104=0),G104=3,F104=1),D104,"")</f>
      </c>
      <c r="AA104" s="111">
        <f>IF(AND(OR(E104=3,E104=0),G104=1,F104=1),D104,"")</f>
      </c>
      <c r="AB104" s="111">
        <f>IF(AND(OR(E104=3,E104=0),G104=2,F104=1),D104,"")</f>
      </c>
      <c r="AC104" s="111">
        <f>IF(AND(OR(E104=3,E104=0),G104=3,F104=1),D104,"")</f>
      </c>
      <c r="AD104" s="111">
        <f>IF(AND(OR(E104=1,E104=0),G104=1,F104=0),J104,"")</f>
      </c>
      <c r="AE104" s="111">
        <f>IF(AND(OR(E104=1,E104=0),G104=2,F104=0),J104,"")</f>
      </c>
      <c r="AF104" s="111">
        <f>IF(AND(OR(E104=1,E104=0),G104=3,F104=0),J104,"")</f>
      </c>
      <c r="AG104" s="111">
        <f>IF(AND(OR(E104=1,E104=0),G104=1,F104=1),J104,"")</f>
      </c>
      <c r="AH104" s="111">
        <f>IF(AND(OR(E104=1,E104=0),G104=2,F104=1),J104,"")</f>
      </c>
      <c r="AI104" s="111">
        <f>IF(AND(OR(E104=1,E104=0),G104=3,F104=1),J104,"")</f>
      </c>
      <c r="AJ104" s="111">
        <f>IF(AND(OR(E104=2,E104=0),G104=1,F104=0),J104,"")</f>
      </c>
      <c r="AK104" s="111">
        <f>IF(AND(OR(E104=2,E104=0),G104=2,F104=0),J104,"")</f>
      </c>
      <c r="AL104" s="111">
        <f>IF(AND(OR(E104=2,E104=0),G104=3,F104=0),J104,"")</f>
      </c>
      <c r="AM104" s="111">
        <f>IF(AND(OR(E104=2,E104=0),G104=1,F104=1),J104,"")</f>
      </c>
      <c r="AN104" s="111">
        <f>IF(AND(OR(E104=2,E104=0),G104=2,F104=1),J104,"")</f>
      </c>
      <c r="AO104" s="111">
        <f>IF(AND(OR(E104=2,E104=0),G104=3,F104=1),J104,"")</f>
      </c>
      <c r="AP104" s="111">
        <f>IF(AND(OR(E104=3,E104=0),G104=1,F104=0),J104,"")</f>
      </c>
      <c r="AQ104" s="111">
        <f>IF(AND(OR(E104=3,E104=0),G104=2,F104=0),J104,"")</f>
      </c>
      <c r="AR104" s="111">
        <f>IF(AND(OR(E104=3,E104=0),G104=3,F104=0),J104,"")</f>
      </c>
      <c r="AS104" s="111">
        <f>IF(AND(OR(E104=3,E104=0),G104=1,F104=1),J104,"")</f>
      </c>
      <c r="AT104" s="111">
        <f>IF(AND(OR(E104=3,E104=0),G104=2,F104=1),J104,"")</f>
      </c>
      <c r="AU104" s="111">
        <f>IF(AND(OR(E104=3,E104=0),G104=3,F104=1),J104,"")</f>
      </c>
    </row>
    <row customHeight="true" ht="19" r="105">
      <c r="A105" s="99" t="str">
        <v>あん・どぅ・とろわっ！（伸缩带）</v>
      </c>
      <c r="B105" s="99" t="str"/>
      <c r="C105" s="99" t="str"/>
      <c r="D105" s="116">
        <f>IF('路线'!B4="计算",'持有情况'!AW108,'持有情况'!AV106)-ROW()*0.00001</f>
      </c>
      <c r="E105" s="116">
        <v>3</v>
      </c>
      <c r="F105" s="116">
        <v>1</v>
      </c>
      <c r="G105" s="116">
        <v>2</v>
      </c>
      <c r="H105" s="117">
        <v>0</v>
      </c>
      <c r="I105" s="1" t="str"/>
      <c r="J105" s="116">
        <f>IF('路线'!B4="计算",INT(45+3*('路线'!B28+'路线'!B29)+13*'路线'!B21+30+'持有情况'!AW105),INT(45+3*('路线'!B28+'路线'!B29)+13*'路线'!B21+30))-ROW()*0.00001</f>
      </c>
      <c r="K105" s="1" t="str"/>
      <c r="L105" s="111">
        <f>IF(AND(OR(E105=1,E105=0),G105=1),D105,"")</f>
      </c>
      <c r="M105" s="111">
        <f>IF(AND(OR(E105=2,E105=0),G105=1),D105,"")</f>
      </c>
      <c r="N105" s="111">
        <f>IF(AND(OR(E105=3,E105=0),G105=1),D105,"")</f>
      </c>
      <c r="O105" s="111">
        <f>IF(AND(OR(E105=1,E105=0),G105=2),D105,"")</f>
      </c>
      <c r="P105" s="111">
        <f>IF(AND(OR(E105=2,E105=0),G105=2),D105,"")</f>
      </c>
      <c r="Q105" s="111">
        <f>IF(AND(OR(E105=3,E105=0),G105=2),D105,"")</f>
      </c>
      <c r="R105" s="111">
        <f>IF(AND(OR(E105=1,E105=0),G105=3),D105,"")</f>
      </c>
      <c r="S105" s="111">
        <f>IF(AND(OR(E105=2,E105=0),G105=3),D105,"")</f>
      </c>
      <c r="T105" s="111">
        <f>IF(AND(OR(E105=3,E105=0),G105=3),D105,"")</f>
      </c>
      <c r="U105" s="111">
        <f>IF(AND(OR(E105=1,E105=0),G105=1,F105=1),D105,"")</f>
      </c>
      <c r="V105" s="111">
        <f>IF(AND(OR(E105=1,E105=0),G105=2,F105=1),D105,"")</f>
      </c>
      <c r="W105" s="111">
        <f>IF(AND(OR(E105=1,E105=0),G105=3,F105=1),D105,"")</f>
      </c>
      <c r="X105" s="111">
        <f>IF(AND(OR(E105=2,E105=0),G105=1,F105=1),D105,"")</f>
      </c>
      <c r="Y105" s="111">
        <f>IF(AND(OR(E105=2,E105=0),G105=2,F105=1),D105,"")</f>
      </c>
      <c r="Z105" s="111">
        <f>IF(AND(OR(E105=2,E105=0),G105=3,F105=1),D105,"")</f>
      </c>
      <c r="AA105" s="111">
        <f>IF(AND(OR(E105=3,E105=0),G105=1,F105=1),D105,"")</f>
      </c>
      <c r="AB105" s="111">
        <f>IF(AND(OR(E105=3,E105=0),G105=2,F105=1),D105,"")</f>
      </c>
      <c r="AC105" s="111">
        <f>IF(AND(OR(E105=3,E105=0),G105=3,F105=1),D105,"")</f>
      </c>
      <c r="AD105" s="111">
        <f>IF(AND(OR(E105=1,E105=0),G105=1,F105=0),J105,"")</f>
      </c>
      <c r="AE105" s="111">
        <f>IF(AND(OR(E105=1,E105=0),G105=2,F105=0),J105,"")</f>
      </c>
      <c r="AF105" s="111">
        <f>IF(AND(OR(E105=1,E105=0),G105=3,F105=0),J105,"")</f>
      </c>
      <c r="AG105" s="111">
        <f>IF(AND(OR(E105=1,E105=0),G105=1,F105=1),J105,"")</f>
      </c>
      <c r="AH105" s="111">
        <f>IF(AND(OR(E105=1,E105=0),G105=2,F105=1),J105,"")</f>
      </c>
      <c r="AI105" s="111">
        <f>IF(AND(OR(E105=1,E105=0),G105=3,F105=1),J105,"")</f>
      </c>
      <c r="AJ105" s="111">
        <f>IF(AND(OR(E105=2,E105=0),G105=1,F105=0),J105,"")</f>
      </c>
      <c r="AK105" s="111">
        <f>IF(AND(OR(E105=2,E105=0),G105=2,F105=0),J105,"")</f>
      </c>
      <c r="AL105" s="111">
        <f>IF(AND(OR(E105=2,E105=0),G105=3,F105=0),J105,"")</f>
      </c>
      <c r="AM105" s="111">
        <f>IF(AND(OR(E105=2,E105=0),G105=1,F105=1),J105,"")</f>
      </c>
      <c r="AN105" s="111">
        <f>IF(AND(OR(E105=2,E105=0),G105=2,F105=1),J105,"")</f>
      </c>
      <c r="AO105" s="111">
        <f>IF(AND(OR(E105=2,E105=0),G105=3,F105=1),J105,"")</f>
      </c>
      <c r="AP105" s="111">
        <f>IF(AND(OR(E105=3,E105=0),G105=1,F105=0),J105,"")</f>
      </c>
      <c r="AQ105" s="111">
        <f>IF(AND(OR(E105=3,E105=0),G105=2,F105=0),J105,"")</f>
      </c>
      <c r="AR105" s="111">
        <f>IF(AND(OR(E105=3,E105=0),G105=3,F105=0),J105,"")</f>
      </c>
      <c r="AS105" s="111">
        <f>IF(AND(OR(E105=3,E105=0),G105=1,F105=1),J105,"")</f>
      </c>
      <c r="AT105" s="111">
        <f>IF(AND(OR(E105=3,E105=0),G105=2,F105=1),J105,"")</f>
      </c>
      <c r="AU105" s="111">
        <f>IF(AND(OR(E105=3,E105=0),G105=3,F105=1),J105,"")</f>
      </c>
    </row>
    <row customHeight="true" ht="19" r="106">
      <c r="A106" s="85" t="str">
        <v>みんなの意見を聞かせて♪（发饰）</v>
      </c>
      <c r="B106" s="85"/>
      <c r="C106" s="85"/>
      <c r="D106" s="113">
        <f>'持有情况'!H106-ROW()*0.00001</f>
      </c>
      <c r="E106" s="113">
        <v>3</v>
      </c>
      <c r="F106" s="113">
        <v>1</v>
      </c>
      <c r="G106" s="113">
        <v>1</v>
      </c>
      <c r="H106" s="113">
        <v>1</v>
      </c>
      <c r="I106" s="113" t="str">
        <v>发饰</v>
      </c>
      <c r="J106" s="113">
        <f>INT(60+7*'路线'!B28+5*'路线'!B30+40)-ROW()*0.00001</f>
      </c>
      <c r="K106" s="4"/>
      <c r="L106" s="114">
        <f>IF(AND(OR(E106=1,E106=0),G106=1),D106,"")</f>
      </c>
      <c r="M106" s="114">
        <f>IF(AND(OR(E106=2,E106=0),G106=1),D106,"")</f>
      </c>
      <c r="N106" s="114">
        <f>IF(AND(OR(E106=3,E106=0),G106=1),D106,"")</f>
      </c>
      <c r="O106" s="114">
        <f>IF(AND(OR(E106=1,E106=0),G106=2),D106,"")</f>
      </c>
      <c r="P106" s="114">
        <f>IF(AND(OR(E106=2,E106=0),G106=2),D106,"")</f>
      </c>
      <c r="Q106" s="114">
        <f>IF(AND(OR(E106=3,E106=0),G106=2),D106,"")</f>
      </c>
      <c r="R106" s="114">
        <f>IF(AND(OR(E106=1,E106=0),G106=3),D106,"")</f>
      </c>
      <c r="S106" s="114">
        <f>IF(AND(OR(E106=2,E106=0),G106=3),D106,"")</f>
      </c>
      <c r="T106" s="114">
        <f>IF(AND(OR(E106=3,E106=0),G106=3),D106,"")</f>
      </c>
      <c r="U106" s="3"/>
      <c r="V106" s="3"/>
      <c r="W106" s="3"/>
      <c r="X106" s="3"/>
      <c r="Y106" s="3"/>
      <c r="Z106" s="3"/>
      <c r="AA106" s="3"/>
      <c r="AB106" s="3"/>
      <c r="AC106" s="3"/>
      <c r="AD106" s="114">
        <f>IF(AND(OR(E106=1,E106=0),G106=1),J106,"")</f>
      </c>
      <c r="AE106" s="114">
        <f>IF(AND(OR(E106=1,E106=0),G106=2),J106,"")</f>
      </c>
      <c r="AF106" s="114">
        <f>IF(AND(OR(E106=1,E106=0),G106=3),J106,"")</f>
      </c>
      <c r="AG106" s="3"/>
      <c r="AH106" s="3"/>
      <c r="AI106" s="3"/>
      <c r="AJ106" s="114">
        <f>IF(AND(OR(E106=2,E106=0),G106=1),J106,"")</f>
      </c>
      <c r="AK106" s="114">
        <f>IF(AND(OR(E106=2,E106=0),G106=2),J106,"")</f>
      </c>
      <c r="AL106" s="114">
        <f>IF(AND(OR(E106=2,E106=0),G106=3),J106,"")</f>
      </c>
      <c r="AM106" s="3"/>
      <c r="AN106" s="3"/>
      <c r="AO106" s="3"/>
      <c r="AP106" s="114">
        <f>IF(AND(OR(E106=3,E106=0),G106=1),J106,"")</f>
      </c>
      <c r="AQ106" s="114">
        <f>IF(AND(OR(E106=3,E106=0),G106=2),J106,"")</f>
      </c>
      <c r="AR106" s="114">
        <f>IF(AND(OR(E106=3,E106=0),G106=3),J106,"")</f>
      </c>
      <c r="AS106" s="4"/>
      <c r="AT106" s="4"/>
      <c r="AU106" s="4"/>
    </row>
    <row customHeight="true" ht="19" r="107">
      <c r="A107" s="119" t="str">
        <v>すっかり仲良しって感じ♪（金萝卜）</v>
      </c>
      <c r="B107" s="119"/>
      <c r="C107" s="119"/>
      <c r="D107" s="113">
        <f>'持有情况'!R124-ROW()*0.00001</f>
      </c>
      <c r="E107" s="113">
        <v>1</v>
      </c>
      <c r="F107" s="113">
        <v>1</v>
      </c>
      <c r="G107" s="113">
        <v>2</v>
      </c>
      <c r="H107" s="113">
        <v>1</v>
      </c>
      <c r="I107" s="113" t="str">
        <v>金萝卜</v>
      </c>
      <c r="J107" s="113">
        <f>INT(60+17+13*'路线'!B21+40)-ROW()*0.00001</f>
      </c>
      <c r="K107" s="4"/>
      <c r="L107" s="114">
        <f>IF(AND(OR(E107=1,E107=0),G107=1),D107,"")</f>
      </c>
      <c r="M107" s="114">
        <f>IF(AND(OR(E107=2,E107=0),G107=1),D107,"")</f>
      </c>
      <c r="N107" s="114">
        <f>IF(AND(OR(E107=3,E107=0),G107=1),D107,"")</f>
      </c>
      <c r="O107" s="114">
        <f>IF(AND(OR(E107=1,E107=0),G107=2),D107,"")</f>
      </c>
      <c r="P107" s="114">
        <f>IF(AND(OR(E107=2,E107=0),G107=2),D107,"")</f>
      </c>
      <c r="Q107" s="114">
        <f>IF(AND(OR(E107=3,E107=0),G107=2),D107,"")</f>
      </c>
      <c r="R107" s="114">
        <f>IF(AND(OR(E107=1,E107=0),G107=3),D107,"")</f>
      </c>
      <c r="S107" s="114">
        <f>IF(AND(OR(E107=2,E107=0),G107=3),D107,"")</f>
      </c>
      <c r="T107" s="114">
        <f>IF(AND(OR(E107=3,E107=0),G107=3),D107,"")</f>
      </c>
      <c r="U107" s="114">
        <f>IF(AND(OR(E107=1,E107=0),G107=1,F107=1),D107,"")</f>
      </c>
      <c r="V107" s="114">
        <f>IF(AND(OR(E107=1,E107=0),G107=2,F107=1),D107,"")</f>
      </c>
      <c r="W107" s="114">
        <f>IF(AND(OR(E107=1,E107=0),G107=3,F107=1),D107,"")</f>
      </c>
      <c r="X107" s="114">
        <f>IF(AND(OR(E107=2,E107=0),G107=1,F107=1),D107,"")</f>
      </c>
      <c r="Y107" s="114">
        <f>IF(AND(OR(E107=2,E107=0),G107=2,F107=1),D107,"")</f>
      </c>
      <c r="Z107" s="114">
        <f>IF(AND(OR(E107=2,E107=0),G107=3,F107=1),D107,"")</f>
      </c>
      <c r="AA107" s="114">
        <f>IF(AND(OR(E107=3,E107=0),G107=1,F107=1),D107,"")</f>
      </c>
      <c r="AB107" s="114">
        <f>IF(AND(OR(E107=3,E107=0),G107=2,F107=1),D107,"")</f>
      </c>
      <c r="AC107" s="114">
        <f>IF(AND(OR(E107=3,E107=0),G107=3,F107=1),D107,"")</f>
      </c>
      <c r="AD107" s="114">
        <f>IF(AND(OR(E107=1,E107=0),G107=1,F107=0),J107,"")</f>
      </c>
      <c r="AE107" s="114">
        <f>IF(AND(OR(E107=1,E107=0),G107=2,F107=0),J107,"")</f>
      </c>
      <c r="AF107" s="114">
        <f>IF(AND(OR(E107=1,E107=0),G107=3,F107=0),J107,"")</f>
      </c>
      <c r="AG107" s="114">
        <f>IF(AND(OR(E107=1,E107=0),G107=1,F107=1),J107,"")</f>
      </c>
      <c r="AH107" s="114">
        <f>IF(AND(OR(E107=1,E107=0),G107=2,F107=1),J107,"")</f>
      </c>
      <c r="AI107" s="114">
        <f>IF(AND(OR(E107=1,E107=0),G107=3,F107=1),J107,"")</f>
      </c>
      <c r="AJ107" s="114">
        <f>IF(AND(OR(E107=2,E107=0),G107=1,F107=0),J107,"")</f>
      </c>
      <c r="AK107" s="114">
        <f>IF(AND(OR(E107=2,E107=0),G107=2,F107=0),J107,"")</f>
      </c>
      <c r="AL107" s="114">
        <f>IF(AND(OR(E107=2,E107=0),G107=3,F107=0),J107,"")</f>
      </c>
      <c r="AM107" s="114">
        <f>IF(AND(OR(E107=2,E107=0),G107=1,F107=1),J107,"")</f>
      </c>
      <c r="AN107" s="114">
        <f>IF(AND(OR(E107=2,E107=0),G107=2,F107=1),J107,"")</f>
      </c>
      <c r="AO107" s="114">
        <f>IF(AND(OR(E107=2,E107=0),G107=3,F107=1),J107,"")</f>
      </c>
      <c r="AP107" s="114">
        <f>IF(AND(OR(E107=3,E107=0),G107=1,F107=0),J107,"")</f>
      </c>
      <c r="AQ107" s="114">
        <f>IF(AND(OR(E107=3,E107=0),G107=2,F107=0),J107,"")</f>
      </c>
      <c r="AR107" s="114">
        <f>IF(AND(OR(E107=3,E107=0),G107=3,F107=0),J107,"")</f>
      </c>
      <c r="AS107" s="114">
        <f>IF(AND(OR(E107=3,E107=0),G107=1,F107=1),J107,"")</f>
      </c>
      <c r="AT107" s="114">
        <f>IF(AND(OR(E107=3,E107=0),G107=2,F107=1),J107,"")</f>
      </c>
      <c r="AU107" s="114">
        <f>IF(AND(OR(E107=3,E107=0),G107=3,F107=1),J107,"")</f>
      </c>
    </row>
    <row customHeight="true" ht="19" r="108">
      <c r="A108" s="115" t="str">
        <v>迷子のおしらせです（mygo）</v>
      </c>
      <c r="B108" s="115"/>
      <c r="C108" s="115"/>
      <c r="D108" s="113">
        <f>'持有情况'!AB124-ROW()*0.00001</f>
      </c>
      <c r="E108" s="113">
        <v>2</v>
      </c>
      <c r="F108" s="113">
        <v>1</v>
      </c>
      <c r="G108" s="113">
        <v>3</v>
      </c>
      <c r="H108" s="113">
        <v>1</v>
      </c>
      <c r="I108" s="113" t="str">
        <v>mygo</v>
      </c>
      <c r="J108" s="113">
        <f>INT(60+7*'路线'!B29+2*'路线'!B24+40)-ROW()*0.00001</f>
      </c>
      <c r="K108" s="4"/>
      <c r="L108" s="114">
        <f>IF(AND(OR(E108=1,E108=0),G108=1),D108,"")</f>
      </c>
      <c r="M108" s="114">
        <f>IF(AND(OR(E108=2,E108=0),G108=1),D108,"")</f>
      </c>
      <c r="N108" s="114">
        <f>IF(AND(OR(E108=3,E108=0),G108=1),D108,"")</f>
      </c>
      <c r="O108" s="114">
        <f>IF(AND(OR(E108=1,E108=0),G108=2),D108,"")</f>
      </c>
      <c r="P108" s="114">
        <f>IF(AND(OR(E108=2,E108=0),G108=2),D108,"")</f>
      </c>
      <c r="Q108" s="114">
        <f>IF(AND(OR(E108=3,E108=0),G108=2),D108,"")</f>
      </c>
      <c r="R108" s="114">
        <f>IF(AND(OR(E108=1,E108=0),G108=3),D108,"")</f>
      </c>
      <c r="S108" s="114">
        <f>IF(AND(OR(E108=2,E108=0),G108=3),D108,"")</f>
      </c>
      <c r="T108" s="114">
        <f>IF(AND(OR(E108=3,E108=0),G108=3),D108,"")</f>
      </c>
      <c r="U108" s="114">
        <f>IF(AND(OR(E108=1,E108=0),G108=1,F108=1),D108,"")</f>
      </c>
      <c r="V108" s="114">
        <f>IF(AND(OR(E108=1,E108=0),G108=2,F108=1),D108,"")</f>
      </c>
      <c r="W108" s="114">
        <f>IF(AND(OR(E108=1,E108=0),G108=3,F108=1),D108,"")</f>
      </c>
      <c r="X108" s="114">
        <f>IF(AND(OR(E108=2,E108=0),G108=1,F108=1),D108,"")</f>
      </c>
      <c r="Y108" s="114">
        <f>IF(AND(OR(E108=2,E108=0),G108=2,F108=1),D108,"")</f>
      </c>
      <c r="Z108" s="114">
        <f>IF(AND(OR(E108=2,E108=0),G108=3,F108=1),D108,"")</f>
      </c>
      <c r="AA108" s="114">
        <f>IF(AND(OR(E108=3,E108=0),G108=1,F108=1),D108,"")</f>
      </c>
      <c r="AB108" s="114">
        <f>IF(AND(OR(E108=3,E108=0),G108=2,F108=1),D108,"")</f>
      </c>
      <c r="AC108" s="114">
        <f>IF(AND(OR(E108=3,E108=0),G108=3,F108=1),D108,"")</f>
      </c>
      <c r="AD108" s="114">
        <f>IF(AND(OR(E108=1,E108=0),G108=1,F108=0),J108,"")</f>
      </c>
      <c r="AE108" s="114">
        <f>IF(AND(OR(E108=1,E108=0),G108=2,F108=0),J108,"")</f>
      </c>
      <c r="AF108" s="114">
        <f>IF(AND(OR(E108=1,E108=0),G108=3,F108=0),J108,"")</f>
      </c>
      <c r="AG108" s="114">
        <f>IF(AND(OR(E108=1,E108=0),G108=1,F108=1),J108,"")</f>
      </c>
      <c r="AH108" s="114">
        <f>IF(AND(OR(E108=1,E108=0),G108=2,F108=1),J108,"")</f>
      </c>
      <c r="AI108" s="114">
        <f>IF(AND(OR(E108=1,E108=0),G108=3,F108=1),J108,"")</f>
      </c>
      <c r="AJ108" s="114">
        <f>IF(AND(OR(E108=2,E108=0),G108=1,F108=0),J108,"")</f>
      </c>
      <c r="AK108" s="114">
        <f>IF(AND(OR(E108=2,E108=0),G108=2,F108=0),J108,"")</f>
      </c>
      <c r="AL108" s="114">
        <f>IF(AND(OR(E108=2,E108=0),G108=3,F108=0),J108,"")</f>
      </c>
      <c r="AM108" s="114">
        <f>IF(AND(OR(E108=2,E108=0),G108=1,F108=1),J108,"")</f>
      </c>
      <c r="AN108" s="114">
        <f>IF(AND(OR(E108=2,E108=0),G108=2,F108=1),J108,"")</f>
      </c>
      <c r="AO108" s="114">
        <f>IF(AND(OR(E108=2,E108=0),G108=3,F108=1),J108,"")</f>
      </c>
      <c r="AP108" s="114">
        <f>IF(AND(OR(E108=3,E108=0),G108=1,F108=0),J108,"")</f>
      </c>
      <c r="AQ108" s="114">
        <f>IF(AND(OR(E108=3,E108=0),G108=2,F108=0),J108,"")</f>
      </c>
      <c r="AR108" s="114">
        <f>IF(AND(OR(E108=3,E108=0),G108=3,F108=0),J108,"")</f>
      </c>
      <c r="AS108" s="114">
        <f>IF(AND(OR(E108=3,E108=0),G108=1,F108=1),J108,"")</f>
      </c>
      <c r="AT108" s="114">
        <f>IF(AND(OR(E108=3,E108=0),G108=2,F108=1),J108,"")</f>
      </c>
      <c r="AU108" s="114">
        <f>IF(AND(OR(E108=3,E108=0),G108=3,F108=1),J108,"")</f>
      </c>
    </row>
    <row customHeight="true" ht="19" r="109">
      <c r="A109" s="115" t="str">
        <v>推し活なひととき、だね！（猫头鹰）</v>
      </c>
      <c r="B109" s="115"/>
      <c r="C109" s="115"/>
      <c r="D109" s="113">
        <f>'持有情况'!AB130-ROW()*0.00001</f>
      </c>
      <c r="E109" s="113">
        <v>2</v>
      </c>
      <c r="F109" s="113">
        <v>0</v>
      </c>
      <c r="G109" s="113">
        <v>3</v>
      </c>
      <c r="H109" s="113">
        <v>0</v>
      </c>
      <c r="I109" s="113"/>
      <c r="J109" s="113">
        <f>INT((8.5/100)*'路线'!B13+4*'路线'!B27+IF('路线'!B41&gt;6,6,'路线'!B41)*11+17*'路线'!B34+40)-ROW()*0.00001</f>
      </c>
      <c r="K109" s="113"/>
      <c r="L109" s="114">
        <f>IF(AND(OR(E109=1,E109=0),G109=1),D109,"")</f>
      </c>
      <c r="M109" s="114">
        <f>IF(AND(OR(E109=2,E109=0),G109=1),D109,"")</f>
      </c>
      <c r="N109" s="114">
        <f>IF(AND(OR(E109=3,E109=0),G109=1),D109,"")</f>
      </c>
      <c r="O109" s="114">
        <f>IF(AND(OR(E109=1,E109=0),G109=2),D109,"")</f>
      </c>
      <c r="P109" s="114">
        <f>IF(AND(OR(E109=2,E109=0),G109=2),D109,"")</f>
      </c>
      <c r="Q109" s="114">
        <f>IF(AND(OR(E109=3,E109=0),G109=2),D109,"")</f>
      </c>
      <c r="R109" s="114">
        <f>IF(AND(OR(E109=1,E109=0),G109=3),D109,"")</f>
      </c>
      <c r="S109" s="114">
        <f>IF(AND(OR(E109=2,E109=0),G109=3),D109,"")</f>
      </c>
      <c r="T109" s="114">
        <f>IF(AND(OR(E109=3,E109=0),G109=3),D109,"")</f>
      </c>
      <c r="U109" s="114">
        <f>IF(AND(OR(E109=1,E109=0),G109=1,F109=1),D109,"")</f>
      </c>
      <c r="V109" s="114">
        <f>IF(AND(OR(E109=1,E109=0),G109=2,F109=1),D109,"")</f>
      </c>
      <c r="W109" s="114">
        <f>IF(AND(OR(E109=1,E109=0),G109=3,F109=1),D109,"")</f>
      </c>
      <c r="X109" s="114">
        <f>IF(AND(OR(E109=2,E109=0),G109=1,F109=1),D109,"")</f>
      </c>
      <c r="Y109" s="114">
        <f>IF(AND(OR(E109=2,E109=0),G109=2,F109=1),D109,"")</f>
      </c>
      <c r="Z109" s="114">
        <f>IF(AND(OR(E109=2,E109=0),G109=3,F109=1),D109,"")</f>
      </c>
      <c r="AA109" s="114">
        <f>IF(AND(OR(E109=3,E109=0),G109=1,F109=1),D109,"")</f>
      </c>
      <c r="AB109" s="114">
        <f>IF(AND(OR(E109=3,E109=0),G109=2,F109=1),D109,"")</f>
      </c>
      <c r="AC109" s="114">
        <f>IF(AND(OR(E109=3,E109=0),G109=3,F109=1),D109,"")</f>
      </c>
      <c r="AD109" s="114">
        <f>IF(AND(OR(E109=1,E109=0),G109=1,F109=0),J109,"")</f>
      </c>
      <c r="AE109" s="114">
        <f>IF(AND(OR(E109=1,E109=0),G109=2,F109=0),J109,"")</f>
      </c>
      <c r="AF109" s="114">
        <f>IF(AND(OR(E109=1,E109=0),G109=3,F109=0),J109,"")</f>
      </c>
      <c r="AG109" s="114">
        <f>IF(AND(OR(E109=1,E109=0),G109=1,F109=1),J109,"")</f>
      </c>
      <c r="AH109" s="114">
        <f>IF(AND(OR(E109=1,E109=0),G109=2,F109=1),J109,"")</f>
      </c>
      <c r="AI109" s="114">
        <f>IF(AND(OR(E109=1,E109=0),G109=3,F109=1),J109,"")</f>
      </c>
      <c r="AJ109" s="114">
        <f>IF(AND(OR(E109=2,E109=0),G109=1,F109=0),J109,"")</f>
      </c>
      <c r="AK109" s="114">
        <f>IF(AND(OR(E109=2,E109=0),G109=2,F109=0),J109,"")</f>
      </c>
      <c r="AL109" s="114">
        <f>IF(AND(OR(E109=2,E109=0),G109=3,F109=0),J109,"")</f>
      </c>
      <c r="AM109" s="114">
        <f>IF(AND(OR(E109=2,E109=0),G109=1,F109=1),J109,"")</f>
      </c>
      <c r="AN109" s="114">
        <f>IF(AND(OR(E109=2,E109=0),G109=2,F109=1),J109,"")</f>
      </c>
      <c r="AO109" s="114">
        <f>IF(AND(OR(E109=2,E109=0),G109=3,F109=1),J109,"")</f>
      </c>
      <c r="AP109" s="114">
        <f>IF(AND(OR(E109=3,E109=0),G109=1,F109=0),J109,"")</f>
      </c>
      <c r="AQ109" s="114">
        <f>IF(AND(OR(E109=3,E109=0),G109=2,F109=0),J109,"")</f>
      </c>
      <c r="AR109" s="114">
        <f>IF(AND(OR(E109=3,E109=0),G109=3,F109=0),J109,"")</f>
      </c>
      <c r="AS109" s="114">
        <f>IF(AND(OR(E109=3,E109=0),G109=1,F109=1),J109,"")</f>
      </c>
      <c r="AT109" s="114">
        <f>IF(AND(OR(E109=3,E109=0),G109=2,F109=1),J109,"")</f>
      </c>
      <c r="AU109" s="114">
        <f>IF(AND(OR(E109=3,E109=0),G109=3,F109=1),J109,"")</f>
      </c>
    </row>
    <row customHeight="true" ht="19" r="110">
      <c r="A110" s="115" t="str">
        <v>ばたんきゅー（噗叽啪——）</v>
      </c>
      <c r="B110" s="115"/>
      <c r="C110" s="115"/>
      <c r="D110" s="113">
        <f>'持有情况'!BF94-ROW()*0.00001</f>
      </c>
      <c r="E110" s="113">
        <v>2</v>
      </c>
      <c r="F110" s="113">
        <v>1</v>
      </c>
      <c r="G110" s="113">
        <v>3</v>
      </c>
      <c r="H110" s="113">
        <v>0</v>
      </c>
      <c r="I110" s="113"/>
      <c r="J110" s="113">
        <f>INT(45+IF('路线'!B36&gt;3,3,'路线'!B36)*16+13*'路线'!B21+30)-ROW()*0.00001</f>
      </c>
      <c r="K110" s="113"/>
      <c r="L110" s="114">
        <f>IF(AND(OR(E110=1,E110=0),G110=1),D110,"")</f>
      </c>
      <c r="M110" s="114">
        <f>IF(AND(OR(E110=2,E110=0),G110=1),D110,"")</f>
      </c>
      <c r="N110" s="114">
        <f>IF(AND(OR(E110=3,E110=0),G110=1),D110,"")</f>
      </c>
      <c r="O110" s="114">
        <f>IF(AND(OR(E110=1,E110=0),G110=2),D110,"")</f>
      </c>
      <c r="P110" s="114">
        <f>IF(AND(OR(E110=2,E110=0),G110=2),D110,"")</f>
      </c>
      <c r="Q110" s="114">
        <f>IF(AND(OR(E110=3,E110=0),G110=2),D110,"")</f>
      </c>
      <c r="R110" s="114">
        <f>IF(AND(OR(E110=1,E110=0),G110=3),D110,"")</f>
      </c>
      <c r="S110" s="114">
        <f>IF(AND(OR(E110=2,E110=0),G110=3),D110,"")</f>
      </c>
      <c r="T110" s="114">
        <f>IF(AND(OR(E110=3,E110=0),G110=3),D110,"")</f>
      </c>
      <c r="U110" s="114">
        <f>IF(AND(OR(E110=1,E110=0),G110=1,F110=1),D110,"")</f>
      </c>
      <c r="V110" s="114">
        <f>IF(AND(OR(E110=1,E110=0),G110=2,F110=1),D110,"")</f>
      </c>
      <c r="W110" s="114">
        <f>IF(AND(OR(E110=1,E110=0),G110=3,F110=1),D110,"")</f>
      </c>
      <c r="X110" s="114">
        <f>IF(AND(OR(E110=2,E110=0),G110=1,F110=1),D110,"")</f>
      </c>
      <c r="Y110" s="114">
        <f>IF(AND(OR(E110=2,E110=0),G110=2,F110=1),D110,"")</f>
      </c>
      <c r="Z110" s="114">
        <f>IF(AND(OR(E110=2,E110=0),G110=3,F110=1),D110,"")</f>
      </c>
      <c r="AA110" s="114">
        <f>IF(AND(OR(E110=3,E110=0),G110=1,F110=1),D110,"")</f>
      </c>
      <c r="AB110" s="114">
        <f>IF(AND(OR(E110=3,E110=0),G110=2,F110=1),D110,"")</f>
      </c>
      <c r="AC110" s="114">
        <f>IF(AND(OR(E110=3,E110=0),G110=3,F110=1),D110,"")</f>
      </c>
      <c r="AD110" s="114">
        <f>IF(AND(OR(E110=1,E110=0),G110=1,F110=0),J110,"")</f>
      </c>
      <c r="AE110" s="114">
        <f>IF(AND(OR(E110=1,E110=0),G110=2,F110=0),J110,"")</f>
      </c>
      <c r="AF110" s="114">
        <f>IF(AND(OR(E110=1,E110=0),G110=3,F110=0),J110,"")</f>
      </c>
      <c r="AG110" s="114">
        <f>IF(AND(OR(E110=1,E110=0),G110=1,F110=1),J110,"")</f>
      </c>
      <c r="AH110" s="114">
        <f>IF(AND(OR(E110=1,E110=0),G110=2,F110=1),J110,"")</f>
      </c>
      <c r="AI110" s="114">
        <f>IF(AND(OR(E110=1,E110=0),G110=3,F110=1),J110,"")</f>
      </c>
      <c r="AJ110" s="114">
        <f>IF(AND(OR(E110=2,E110=0),G110=1,F110=0),J110,"")</f>
      </c>
      <c r="AK110" s="114">
        <f>IF(AND(OR(E110=2,E110=0),G110=2,F110=0),J110,"")</f>
      </c>
      <c r="AL110" s="114">
        <f>IF(AND(OR(E110=2,E110=0),G110=3,F110=0),J110,"")</f>
      </c>
      <c r="AM110" s="114">
        <f>IF(AND(OR(E110=2,E110=0),G110=1,F110=1),J110,"")</f>
      </c>
      <c r="AN110" s="114">
        <f>IF(AND(OR(E110=2,E110=0),G110=2,F110=1),J110,"")</f>
      </c>
      <c r="AO110" s="114">
        <f>IF(AND(OR(E110=2,E110=0),G110=3,F110=1),J110,"")</f>
      </c>
      <c r="AP110" s="114">
        <f>IF(AND(OR(E110=3,E110=0),G110=1,F110=0),J110,"")</f>
      </c>
      <c r="AQ110" s="114">
        <f>IF(AND(OR(E110=3,E110=0),G110=2,F110=0),J110,"")</f>
      </c>
      <c r="AR110" s="114">
        <f>IF(AND(OR(E110=3,E110=0),G110=3,F110=0),J110,"")</f>
      </c>
      <c r="AS110" s="114">
        <f>IF(AND(OR(E110=3,E110=0),G110=1,F110=1),J110,"")</f>
      </c>
      <c r="AT110" s="114">
        <f>IF(AND(OR(E110=3,E110=0),G110=2,F110=1),J110,"")</f>
      </c>
      <c r="AU110" s="114">
        <f>IF(AND(OR(E110=3,E110=0),G110=3,F110=1),J110,"")</f>
      </c>
    </row>
    <row customHeight="true" ht="19" r="111"/>
    <row customHeight="true" ht="19" r="112"/>
    <row customHeight="true" ht="19" r="113">
      <c r="A113" s="117" t="str"/>
      <c r="B113" s="111" t="str"/>
      <c r="C113" s="111" t="str"/>
      <c r="M113" s="111" t="str"/>
      <c r="N113" s="1" t="str"/>
      <c r="O113" s="1" t="str"/>
    </row>
    <row customHeight="true" ht="19" r="114">
      <c r="A114" s="116" t="str"/>
      <c r="B114" s="117" t="str"/>
      <c r="C114" s="116" t="str"/>
      <c r="M114" s="116" t="str"/>
      <c r="N114" s="116" t="str"/>
      <c r="O114" s="116" t="str"/>
    </row>
    <row customHeight="true" ht="19" r="115">
      <c r="A115" s="116" t="str"/>
      <c r="B115" s="116" t="str"/>
      <c r="C115" s="116" t="str"/>
      <c r="M115" s="116" t="str"/>
      <c r="N115" s="116" t="str"/>
      <c r="O115" s="116" t="str"/>
    </row>
    <row customHeight="true" ht="19" r="116">
      <c r="A116" s="116" t="str"/>
      <c r="B116" s="116" t="str"/>
      <c r="C116" s="116" t="str"/>
      <c r="M116" s="116" t="str"/>
      <c r="N116" s="116" t="str"/>
      <c r="O116" s="116" t="str"/>
    </row>
    <row customHeight="true" ht="19" r="117"/>
    <row customHeight="true" ht="19" r="118"/>
    <row customHeight="true" ht="19" r="119">
      <c r="E119" s="111" t="str"/>
    </row>
    <row customHeight="true" ht="19" r="120">
      <c r="E120" s="111" t="str"/>
    </row>
    <row customHeight="true" ht="19" r="121">
      <c r="E121" s="111" t="str"/>
    </row>
    <row customHeight="true" ht="19" r="122">
      <c r="E122" s="111" t="str"/>
    </row>
  </sheetData>
</worksheet>
</file>

<file path=xl/worksheets/sheet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FFFFFF"/>
    <outlinePr summaryBelow="false" summaryRight="false"/>
  </sheetPr>
  <dimension ref="A1"/>
  <sheetViews>
    <sheetView showGridLines="true" workbookViewId="0"/>
  </sheetViews>
  <sheetFormatPr defaultColWidth="14" defaultRowHeight="19"/>
  <cols>
    <col collapsed="false" customWidth="true" hidden="false" max="1" min="1" style="0" width="14"/>
    <col collapsed="false" customWidth="true" hidden="false" max="2" min="2" style="0" width="14"/>
    <col collapsed="false" customWidth="true" hidden="false" max="3" min="3" style="0" width="14"/>
    <col collapsed="false" customWidth="true" hidden="false" max="4" min="4" style="0" width="14"/>
    <col collapsed="false" customWidth="true" hidden="false" max="5" min="5" style="0" width="14"/>
    <col collapsed="false" customWidth="true" hidden="false" max="6" min="6" style="0" width="14"/>
    <col collapsed="false" customWidth="true" hidden="false" max="7" min="7" style="0" width="14"/>
    <col collapsed="false" customWidth="true" hidden="false" max="8" min="8" style="0" width="14"/>
    <col collapsed="false" customWidth="true" hidden="false" max="9" min="9" style="0" width="14"/>
    <col collapsed="false" customWidth="true" hidden="false" max="10" min="10" style="0" width="14"/>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customHeight="true" ht="19" r="1">
      <c r="A1" s="111" t="str">
        <v>第一属性</v>
      </c>
      <c r="B1" s="1" t="str"/>
      <c r="C1" s="1" t="str"/>
      <c r="D1" s="1" t="str"/>
      <c r="E1" s="1" t="str"/>
      <c r="F1" s="1" t="str"/>
      <c r="G1" s="1" t="str"/>
      <c r="H1" s="111" t="str">
        <v>SP</v>
      </c>
      <c r="I1" s="1" t="str"/>
      <c r="J1" s="1" t="str"/>
      <c r="K1" s="1" t="str"/>
      <c r="L1" s="1" t="str"/>
      <c r="M1" s="111" t="str">
        <v>借卡1</v>
      </c>
      <c r="N1" s="1" t="str"/>
      <c r="O1" s="1" t="str"/>
      <c r="P1" s="1" t="str"/>
      <c r="Q1" s="1" t="str"/>
      <c r="R1" s="111" t="str">
        <v>SP</v>
      </c>
      <c r="S1" s="1" t="str"/>
      <c r="T1" s="1" t="str"/>
      <c r="U1" s="1" t="str"/>
    </row>
    <row customHeight="true" ht="19" r="2">
      <c r="A2" s="111" t="str">
        <v>红</v>
      </c>
      <c r="B2" s="111">
        <f>IF('路线'!B3="感性",LARGE('第一属性比较'!L2:L999,1),IF('路线'!B3="理性",LARGE('第一属性比较'!M2:M999,1),LARGE('第一属性比较'!N2:N999,1)))</f>
      </c>
      <c r="C2" s="111">
        <f>IF('路线'!B3="感性",LARGE('第一属性比较'!L2:L999,2),IF('路线'!B3="理性",LARGE('第一属性比较'!M2:M999,2),LARGE('第一属性比较'!N2:N999,2)))</f>
      </c>
      <c r="D2" s="111">
        <f>IF('路线'!B3="感性",LARGE('第一属性比较'!L2:L999,3),IF('路线'!B3="理性",LARGE('第一属性比较'!M2:M999,3),LARGE('第一属性比较'!N2:N999,3)))</f>
      </c>
      <c r="E2" s="111">
        <f>IF('路线'!B3="感性",LARGE('第一属性比较'!L2:L999,4),IF('路线'!B3="理性",LARGE('第一属性比较'!M2:M999,4),LARGE('第一属性比较'!N2:N999,4)))</f>
      </c>
      <c r="F2" s="111">
        <f>IF('路线'!B3="感性",LARGE('第一属性比较'!L2:L999,5),IF('路线'!B3="理性",LARGE('第一属性比较'!M2:M999,5),LARGE('第一属性比较'!N2:N999,5)))</f>
      </c>
      <c r="G2" s="1" t="str"/>
      <c r="H2" s="111">
        <f>IF('路线'!B3="感性",LARGE('第一属性比较'!U2:U999,1),IF('路线'!B3="理性",LARGE('第一属性比较'!X2:X999,1),LARGE('第一属性比较'!AA2:AA999,1)))</f>
      </c>
      <c r="I2" s="111">
        <f>IF('路线'!B3="感性",LARGE('第一属性比较'!U2:U999,2),IF('路线'!B3="理性",LARGE('第一属性比较'!X2:X999,2),LARGE('第一属性比较'!AA2:AA999,2)))</f>
      </c>
      <c r="J2" s="111">
        <f>IF('路线'!B3="感性",LARGE('第一属性比较'!U2:U999,3),IF('路线'!B3="理性",LARGE('第一属性比较'!X2:X999,3),LARGE('第一属性比较'!AA2:AA999,3)))</f>
      </c>
      <c r="K2" s="1" t="str"/>
      <c r="L2" s="1" t="str"/>
      <c r="M2" s="111">
        <f>IF('路线'!B3="感性",LARGE('第一属性比较'!AD2:AD999,1),IF('路线'!B3="理性",LARGE('第一属性比较'!AJ2:AJ999,1),LARGE('第一属性比较'!AP2:AP999,1)))</f>
      </c>
      <c r="N2" s="111">
        <f>IF('路线'!B3="感性",LARGE('第一属性比较'!AD2:AD999,2),IF('路线'!B3="理性",LARGE('第一属性比较'!AJ2:AJ999,2),LARGE('第一属性比较'!AP2:AP999,2)))</f>
      </c>
      <c r="O2" s="111">
        <f>IF('路线'!B3="感性",LARGE('第一属性比较'!AD2:AD999,3),IF('路线'!B3="理性",LARGE('第一属性比较'!AJ2:AJ999,3),LARGE('第一属性比较'!AP2:AP999,3)))</f>
      </c>
      <c r="P2" s="111">
        <f>IF('路线'!B3="感性",LARGE('第一属性比较'!AD2:AD999,4),IF('路线'!B3="理性",LARGE('第一属性比较'!AJ2:AJ999,4),LARGE('第一属性比较'!AP2:AP999,4)))</f>
      </c>
      <c r="Q2" s="1" t="str"/>
      <c r="R2" s="111">
        <f>IF('路线'!B3="感性",LARGE('第一属性比较'!AG2:AG999,1),IF('路线'!B3="理性",LARGE('第一属性比较'!AM2:AM999,1),LARGE('第一属性比较'!AS2:AS999,1)))</f>
      </c>
      <c r="S2" s="111">
        <f>IF('路线'!B3="感性",LARGE('第一属性比较'!AG2:AG999,2),IF('路线'!B3="理性",LARGE('第一属性比较'!AM2:AM999,2),LARGE('第一属性比较'!AS2:AS999,2)))</f>
      </c>
      <c r="T2" s="111">
        <f>IF('路线'!B3="感性",LARGE('第一属性比较'!AG2:AG999,3),IF('路线'!B3="理性",LARGE('第一属性比较'!AM2:AM999,3),LARGE('第一属性比较'!AS2:AS999,3)))</f>
      </c>
      <c r="U2" s="111">
        <f>IF('路线'!B3="感性",LARGE('第一属性比较'!AG2:AG999,4),IF('路线'!B3="理性",LARGE('第一属性比较'!AM2:AM999,4),LARGE('第一属性比较'!AS2:AS999,4)))</f>
      </c>
    </row>
    <row customHeight="true" ht="19" r="3">
      <c r="A3" s="111" t="str">
        <v>蓝</v>
      </c>
      <c r="B3" s="111">
        <f>IF('路线'!B3="感性",LARGE('第一属性比较'!O2:O999,1),IF('路线'!B3="理性",LARGE('第一属性比较'!P2:P999,1),LARGE('第一属性比较'!Q2:Q999,1)))</f>
      </c>
      <c r="C3" s="111">
        <f>IF('路线'!B3="感性",LARGE('第一属性比较'!O2:O999,2),IF('路线'!B3="理性",LARGE('第一属性比较'!P2:P999,2),LARGE('第一属性比较'!Q2:Q999,2)))</f>
      </c>
      <c r="D3" s="111">
        <f>IF('路线'!B3="感性",LARGE('第一属性比较'!O2:O999,3),IF('路线'!B3="理性",LARGE('第一属性比较'!P2:P999,3),LARGE('第一属性比较'!Q2:Q999,3)))</f>
      </c>
      <c r="E3" s="111">
        <f>IF('路线'!B3="感性",LARGE('第一属性比较'!O2:O999,4),IF('路线'!B3="理性",LARGE('第一属性比较'!P2:P999,4),LARGE('第一属性比较'!Q2:Q999,4)))</f>
      </c>
      <c r="F3" s="111">
        <f>IF('路线'!B3="感性",LARGE('第一属性比较'!O2:O999,5),IF('路线'!B3="理性",LARGE('第一属性比较'!P2:P999,5),LARGE('第一属性比较'!Q2:Q999,5)))</f>
      </c>
      <c r="G3" s="1" t="str"/>
      <c r="H3" s="111">
        <f>IF('路线'!B3="感性",LARGE('第一属性比较'!V2:V999,1),IF('路线'!B3="理性",LARGE('第一属性比较'!Y2:Y999,1),LARGE('第一属性比较'!AB2:AB999,1)))</f>
      </c>
      <c r="I3" s="111">
        <f>IF('路线'!B3="感性",LARGE('第一属性比较'!V2:V999,2),IF('路线'!B3="理性",LARGE('第一属性比较'!Y2:Y999,2),LARGE('第一属性比较'!AB2:AB999,2)))</f>
      </c>
      <c r="J3" s="111">
        <f>IF('路线'!B3="感性",LARGE('第一属性比较'!V2:V999,3),IF('路线'!B3="理性",LARGE('第一属性比较'!Y2:Y999,3),LARGE('第一属性比较'!AB2:AB999,3)))</f>
      </c>
      <c r="K3" s="1" t="str"/>
      <c r="L3" s="1" t="str"/>
      <c r="M3" s="111">
        <f>IF('路线'!B3="感性",LARGE('第一属性比较'!AE2:AE999,1),IF('路线'!B3="理性",LARGE('第一属性比较'!AK2:AK999,1),LARGE('第一属性比较'!AQ2:AQ999,1)))</f>
      </c>
      <c r="N3" s="111">
        <f>IF('路线'!B3="感性",LARGE('第一属性比较'!AE2:AE999,2),IF('路线'!B3="理性",LARGE('第一属性比较'!AK2:AK999,2),LARGE('第一属性比较'!AQ2:AQ999,2)))</f>
      </c>
      <c r="O3" s="111">
        <f>IF('路线'!B3="感性",LARGE('第一属性比较'!AE2:AE999,3),IF('路线'!B3="理性",LARGE('第一属性比较'!AK2:AK999,3),LARGE('第一属性比较'!AQ2:AQ999,3)))</f>
      </c>
      <c r="P3" s="111">
        <f>IF('路线'!B3="感性",LARGE('第一属性比较'!AE2:AE999,4),IF('路线'!B3="理性",LARGE('第一属性比较'!AK2:AK999,4),LARGE('第一属性比较'!AQ2:AQ999,4)))</f>
      </c>
      <c r="Q3" s="1" t="str"/>
      <c r="R3" s="111">
        <f>IF('路线'!B3="感性",LARGE('第一属性比较'!AH2:AH999,1),IF('路线'!B3="理性",LARGE('第一属性比较'!AN2:AN999,1),LARGE('第一属性比较'!AT2:AT999,1)))</f>
      </c>
      <c r="S3" s="111">
        <f>IF('路线'!B3="感性",LARGE('第一属性比较'!AH2:AH999,2),IF('路线'!B3="理性",LARGE('第一属性比较'!AN2:AN999,2),LARGE('第一属性比较'!AT2:AT999,2)))</f>
      </c>
      <c r="T3" s="111">
        <f>IF('路线'!B3="感性",LARGE('第一属性比较'!AH2:AH999,3),IF('路线'!B3="理性",LARGE('第一属性比较'!AN2:AN999,3),LARGE('第一属性比较'!AT2:AT999,3)))</f>
      </c>
      <c r="U3" s="111">
        <f>IF('路线'!B3="感性",LARGE('第一属性比较'!AH2:AH999,4),IF('路线'!B3="理性",LARGE('第一属性比较'!AN2:AN999,4),LARGE('第一属性比较'!AT2:AT999,4)))</f>
      </c>
    </row>
    <row customHeight="true" ht="19" r="4">
      <c r="A4" s="111" t="str">
        <v>黄</v>
      </c>
      <c r="B4" s="111">
        <f>IF('路线'!B3="感性",LARGE('第一属性比较'!R2:R999,1),IF('路线'!B3="理性",LARGE('第一属性比较'!S2:S999,1),LARGE('第一属性比较'!T2:T999,1)))</f>
      </c>
      <c r="C4" s="111">
        <f>IF('路线'!B3="感性",LARGE('第一属性比较'!R2:R999,2),IF('路线'!B3="理性",LARGE('第一属性比较'!S2:S999,2),LARGE('第一属性比较'!T2:T999,2)))</f>
      </c>
      <c r="D4" s="111">
        <f>IF('路线'!B3="感性",LARGE('第一属性比较'!R2:R999,3),IF('路线'!B3="理性",LARGE('第一属性比较'!S2:S999,3),LARGE('第一属性比较'!T2:T999,3)))</f>
      </c>
      <c r="E4" s="111">
        <f>IF('路线'!B3="感性",LARGE('第一属性比较'!R2:R999,4),IF('路线'!B3="理性",LARGE('第一属性比较'!S2:S999,4),LARGE('第一属性比较'!T2:T999,4)))</f>
      </c>
      <c r="F4" s="111">
        <f>IF('路线'!B3="感性",LARGE('第一属性比较'!R2:R999,5),IF('路线'!B3="理性",LARGE('第一属性比较'!S2:S999,5),LARGE('第一属性比较'!T2:T999,5)))</f>
      </c>
      <c r="G4" s="1" t="str"/>
      <c r="H4" s="111">
        <f>IF('路线'!B3="感性",LARGE('第一属性比较'!W2:W999,1),IF('路线'!B3="理性",LARGE('第一属性比较'!Z2:Z999,1),LARGE('第一属性比较'!AC2:AC999,1)))</f>
      </c>
      <c r="I4" s="111">
        <f>IF('路线'!B3="感性",LARGE('第一属性比较'!W2:W999,2),IF('路线'!B3="理性",LARGE('第一属性比较'!Z2:Z999,2),LARGE('第一属性比较'!AC2:AC999,2)))</f>
      </c>
      <c r="J4" s="111">
        <f>IF('路线'!B3="感性",LARGE('第一属性比较'!W2:W999,3),IF('路线'!B3="理性",LARGE('第一属性比较'!Z2:Z999,3),LARGE('第一属性比较'!AC2:AC999,3)))</f>
      </c>
      <c r="K4" s="1" t="str"/>
      <c r="L4" s="1" t="str"/>
      <c r="M4" s="111">
        <f>IF('路线'!B3="感性",LARGE('第一属性比较'!AF2:AF999,1),IF('路线'!B3="理性",LARGE('第一属性比较'!AL2:AL999,1),LARGE('第一属性比较'!AR2:AR999,1)))</f>
      </c>
      <c r="N4" s="111">
        <f>IF('路线'!B3="感性",LARGE('第一属性比较'!AF2:AF999,2),IF('路线'!B3="理性",LARGE('第一属性比较'!AL2:AL999,2),LARGE('第一属性比较'!AR2:AR999,2)))</f>
      </c>
      <c r="O4" s="111">
        <f>IF('路线'!B3="感性",LARGE('第一属性比较'!AF2:AF999,3),IF('路线'!B3="理性",LARGE('第一属性比较'!AL2:AL999,3),LARGE('第一属性比较'!AR2:AR999,3)))</f>
      </c>
      <c r="P4" s="111">
        <f>IF('路线'!B3="感性",LARGE('第一属性比较'!AF2:AF999,4),IF('路线'!B3="理性",LARGE('第一属性比较'!AL2:AL999,4),LARGE('第一属性比较'!AR2:AR999,4)))</f>
      </c>
      <c r="Q4" s="1" t="str"/>
      <c r="R4" s="111">
        <f>IF('路线'!B3="感性",LARGE('第一属性比较'!AI2:AI999,1),IF('路线'!B3="理性",LARGE('第一属性比较'!AO2:AO999,1),LARGE('第一属性比较'!AU2:AU999,1)))</f>
      </c>
      <c r="S4" s="111">
        <f>IF('路线'!B3="感性",LARGE('第一属性比较'!AI2:AI999,2),IF('路线'!B3="理性",LARGE('第一属性比较'!AO2:AO999,2),LARGE('第一属性比较'!AU2:AU999,2)))</f>
      </c>
      <c r="T4" s="111">
        <f>IF('路线'!B3="感性",LARGE('第一属性比较'!AI2:AI999,3),IF('路线'!B3="理性",LARGE('第一属性比较'!AO2:AO999,3),LARGE('第一属性比较'!AU2:AU999,3)))</f>
      </c>
      <c r="U4" s="111">
        <f>IF('路线'!B3="感性",LARGE('第一属性比较'!AI2:AI999,4),IF('路线'!B3="理性",LARGE('第一属性比较'!AO2:AO999,4),LARGE('第一属性比较'!AU2:AU999,4)))</f>
      </c>
    </row>
    <row customHeight="true" ht="19" r="5">
      <c r="A5" s="1" t="str"/>
      <c r="B5" s="1" t="str"/>
      <c r="C5" s="1" t="str"/>
      <c r="D5" s="1" t="str"/>
      <c r="E5" s="1" t="str"/>
      <c r="F5" s="1" t="str"/>
      <c r="G5" s="1" t="str"/>
      <c r="H5" s="1" t="str"/>
      <c r="I5" s="1" t="str"/>
      <c r="J5" s="1" t="str"/>
      <c r="K5" s="1" t="str"/>
      <c r="L5" s="1" t="str"/>
      <c r="M5" s="1" t="str"/>
      <c r="N5" s="1" t="str"/>
      <c r="O5" s="1" t="str"/>
      <c r="P5" s="1" t="str"/>
      <c r="Q5" s="1" t="str"/>
      <c r="R5" s="1" t="str"/>
      <c r="S5" s="1" t="str"/>
      <c r="T5" s="1" t="str"/>
      <c r="U5" s="1" t="str"/>
    </row>
    <row customHeight="true" ht="19" r="6">
      <c r="A6" s="111">
        <f>IF('路线'!B3="感性",INDEX('第一属性比较'!A2:A999,IF('路线'!B1="红",IF('路线'!C2&gt;=1,MATCH(H2,'第一属性比较'!U2:U999,0),MATCH(B2,'第一属性比较'!L2:L999,0)),IF('路线'!B1="蓝",IF('路线'!C3&gt;=1,MATCH(H3,'第一属性比较'!V2:V999,0),MATCH(B3,'第一属性比较'!O2:O999,0)),IF('路线'!C4&gt;=1,MATCH(H4,'第一属性比较'!W2:W999,0),MATCH(B4,'第一属性比较'!R2:R999,0))))),IF('路线'!B3="理性",INDEX('第一属性比较'!A2:A999,IF('路线'!B1="红",IF('路线'!C2&gt;=1,MATCH(H2,'第一属性比较'!X2:X999,0),MATCH(B2,'第一属性比较'!M2:M999,0)),IF('路线'!B1="蓝",IF('路线'!C3&gt;=1,MATCH(H3,'第一属性比较'!Y2:Y999,0),MATCH(B3,'第一属性比较'!P2:P999,0)),IF('路线'!C4&gt;=1,MATCH(H4,'第一属性比较'!Z2:Z999,0),MATCH(B4,'第一属性比较'!S2:S999,0))))),INDEX('第一属性比较'!A2:A999,IF('路线'!B1="红",IF('路线'!C2&gt;=1,MATCH(H2,'第一属性比较'!AA2:AA999,0),MATCH(B2,'第一属性比较'!N2:N999,0)),IF('路线'!B1="蓝",IF('路线'!C3&gt;=1,MATCH(H3,'第一属性比较'!AB2:AB999,0),MATCH(B3,'第一属性比较'!Q2:Q999,0)),IF('路线'!C4&gt;=1,MATCH(H4,'第一属性比较'!AC2:AC999,0),MATCH(B4,'第一属性比较'!T2:T999,0)))))))</f>
      </c>
      <c r="B6" s="1" t="str"/>
      <c r="C6" s="1" t="str"/>
      <c r="D6" s="1" t="str"/>
      <c r="E6" s="1" t="str"/>
      <c r="F6" s="1" t="str"/>
      <c r="G6" s="1" t="str"/>
      <c r="H6" s="1" t="str"/>
      <c r="I6" s="1" t="str"/>
      <c r="J6" s="1" t="str"/>
      <c r="K6" s="1" t="str"/>
      <c r="L6" s="1" t="str"/>
      <c r="M6" s="111" t="str">
        <v>SP借1</v>
      </c>
      <c r="N6" s="1" t="str"/>
      <c r="O6" s="1" t="str"/>
      <c r="P6" s="111" t="str">
        <v>非SP借1</v>
      </c>
      <c r="Q6" s="1" t="str"/>
      <c r="R6" s="1" t="str"/>
      <c r="S6" s="1" t="str"/>
      <c r="T6" s="1" t="str"/>
      <c r="U6" s="1" t="str"/>
    </row>
    <row customHeight="true" ht="19" r="7">
      <c r="A7" s="111">
        <f>IF('路线'!B3="感性",INDEX('第一属性比较'!A2:A999,IF('路线'!B1="红",IF('路线'!C2&gt;=2,MATCH(I2,'第一属性比较'!U2:U999,0),IF('路线'!C2=1,MATCH(B2,'第一属性比较'!L2:L999,0),MATCH(C2,'第一属性比较'!L2:L999,0))),IF('路线'!B1="蓝",IF('路线'!C3&gt;=2,MATCH(I3,'第一属性比较'!V2:V999,0),IF('路线'!C3=1,MATCH(B3,'第一属性比较'!O2:O999,0),MATCH(C3,'第一属性比较'!O2:O999,0))),IF('路线'!C4&gt;=2,MATCH(I4,'第一属性比较'!W2:W999,0),IF('路线'!C4=1,MATCH(B4,'第一属性比较'!R2:R999,0),MATCH(C4,'第一属性比较'!R2:R999,0)))))),IF('路线'!B3="理性",INDEX('第一属性比较'!A2:A999,IF('路线'!B1="红",IF('路线'!C2&gt;=2,MATCH(I2,'第一属性比较'!X2:X999,0),IF('路线'!C2=1,MATCH(B2,'第一属性比较'!M2:M999,0),MATCH(C2,'第一属性比较'!M2:M999,0))),IF('路线'!B1="蓝",IF('路线'!C3&gt;=2,MATCH(I3,'第一属性比较'!Y2:Y999,0),IF('路线'!C3=1,MATCH(B3,'第一属性比较'!P2:P999,0),MATCH(C3,'第一属性比较'!P2:P999,0))),IF('路线'!C4&gt;=2,MATCH(I4,'第一属性比较'!Z2:Z999,0),IF('路线'!C4=1,MATCH(B4,'第一属性比较'!S2:S999,0),MATCH(C4,'第一属性比较'!S2:S999,0)))))),INDEX('第一属性比较'!A2:A999,IF('路线'!B1="红",IF('路线'!C2&gt;=2,MATCH(I2,'第一属性比较'!AA2:AA999,0),IF('路线'!C2=1,MATCH(B2,'第一属性比较'!N2:N999,0),MATCH(C2,'第一属性比较'!N2:N999,0))),IF('路线'!B1="蓝",IF('路线'!C3&gt;=2,MATCH(I3,'第一属性比较'!AB2:AB999,0),IF('路线'!C3=1,MATCH(B3,'第一属性比较'!Q2:Q999,0),MATCH(C3,'第一属性比较'!Q2:Q999,0))),IF('路线'!C4&gt;=2,MATCH(I4,'第一属性比较'!AC2:AC999,0),IF('路线'!C4=1,MATCH(B4,'第一属性比较'!T2:T999,0),MATCH(C4,'第一属性比较'!T2:T999,0))))))))</f>
      </c>
      <c r="B7" s="1" t="str"/>
      <c r="C7" s="1" t="str"/>
      <c r="D7" s="111">
        <f>IF(A7=A6,IF('路线'!B3="感性",INDEX('第一属性比较'!A2:A999,IF('路线'!B1="红",IF('路线'!C2&gt;=2,MATCH(I2,'第一属性比较'!U2:U999,0),IF('路线'!C2=1,MATCH(C2,'第一属性比较'!L2:L999,0),MATCH(D2,'第一属性比较'!L2:L999,0))),IF('路线'!B1="蓝",IF('路线'!C3&gt;=2,MATCH(I3,'第一属性比较'!V2:V999,0),IF('路线'!C3=1,MATCH(C3,'第一属性比较'!O2:O999,0),MATCH(D3,'第一属性比较'!O2:O999,0))),IF('路线'!C4&gt;=2,MATCH(I4,'第一属性比较'!W2:W999,0),IF('路线'!C4=1,MATCH(C4,'第一属性比较'!R2:R999,0),MATCH(D4,'第一属性比较'!R2:R999,0)))))),IF('路线'!B3="理性",INDEX('第一属性比较'!A2:A999,IF('路线'!B1="红",IF('路线'!C2&gt;=2,MATCH(I2,'第一属性比较'!X2:X999,0),IF('路线'!C2=1,MATCH(C2,'第一属性比较'!M2:M999,0),MATCH(D2,'第一属性比较'!M2:M999,0))),IF('路线'!B1="蓝",IF('路线'!C3&gt;=2,MATCH(I3,'第一属性比较'!Y2:Y999,0),IF('路线'!C3=1,MATCH(C3,'第一属性比较'!P2:P999,0),MATCH(D3,'第一属性比较'!P2:P999,0))),IF('路线'!C4&gt;=2,MATCH(I4,'第一属性比较'!Z2:Z999,0),IF('路线'!C4=1,MATCH(C4,'第一属性比较'!S2:S999,0),MATCH(D4,'第一属性比较'!T2:T999,0)))))),INDEX('第一属性比较'!A2:A999,IF('路线'!B1="红",IF('路线'!C2&gt;=2,MATCH(I2,'第一属性比较'!AA2:AA999,0),IF('路线'!C2=1,MATCH(C2,'第一属性比较'!N2:N999,0),MATCH(D2,'第一属性比较'!N2:N999,0))),IF('路线'!B1="蓝",IF('路线'!C3&gt;=2,MATCH(I3,'第一属性比较'!AB2:AB999,0),IF('路线'!C3=1,MATCH(C3,'第一属性比较'!Q2:Q999,0),MATCH(D3,'第一属性比较'!Q2:Q999,0))),IF('路线'!C4&gt;=2,MATCH(I4,'第一属性比较'!AC2:AC999,0),IF('路线'!C4=1,MATCH(C4,'第一属性比较'!T2:T999,0),MATCH(D4,'第一属性比较'!T2:T999,0)))))))),A7)</f>
      </c>
      <c r="E7" s="1" t="str"/>
      <c r="F7" s="1" t="str"/>
      <c r="G7" s="1" t="str"/>
      <c r="H7" s="1" t="str"/>
      <c r="I7" s="1" t="str"/>
      <c r="J7" s="1" t="str"/>
      <c r="K7" s="1" t="str"/>
      <c r="L7" s="1" t="str"/>
      <c r="M7" s="124">
        <f>IF('路线'!B1="红",IF('路线'!C2=0,P7,INDEX('第一属性比较'!A2:A999,IF('路线'!B3="感性",MATCH(R2,'第一属性比较'!AG2:AG999,0),IF('路线'!B3="理性",MATCH(R2,'第一属性比较'!AM2:AM999,0),MATCH(R2,'第一属性比较'!AS2:AS999,0))))),IF('路线'!B1="蓝",IF('路线'!C3=0,P7,INDEX('第一属性比较'!A2:A999,IF('路线'!B3="感性",MATCH(R3,'第一属性比较'!AH2:AH999,0),IF('路线'!B3="理性",MATCH(R3,'第一属性比较'!AN2:AN999,0),MATCH(R3,'第一属性比较'!AT2:AT999,0))))),IF('路线'!C4=0,P7,INDEX('第一属性比较'!A2:A999,IF('路线'!B3="感性",MATCH(R4,'第一属性比较'!AI2:AI999,0),IF('路线'!B3="理性",MATCH(R4,'第一属性比较'!AO2:AO999,0),MATCH(R4,'第一属性比较'!AU2:AU999,0)))))))</f>
      </c>
      <c r="N7" s="3"/>
      <c r="O7" s="3"/>
      <c r="P7" s="114">
        <f>IF('路线'!B3="感性",INDEX('第一属性比较'!A2:A999,IF('路线'!B1="红",MATCH(M2,'第一属性比较'!AD2:AD999,0),IF('路线'!B1="蓝",MATCH(M3,'第一属性比较'!AE2:AE999,0),MATCH(M4,'第一属性比较'!AF2:AF999,0)))),IF('路线'!B3="理性",INDEX('第一属性比较'!A2:A999,IF('路线'!B1="红",MATCH(M2,'第一属性比较'!AJ2:AJ999,0),IF('路线'!B1="蓝",MATCH(M3,'第一属性比较'!AK2:AK999,0),MATCH(M4,'第一属性比较'!AL2:AL999,0)))),INDEX('第一属性比较'!A2:A999,IF('路线'!B1="红",MATCH(M2,'第一属性比较'!AP2:AP999,0),IF('路线'!B1="蓝",MATCH(M3,'第一属性比较'!AQ2:AQ999,0),MATCH(M4,'第一属性比较'!AR2:AR999,0))))))</f>
      </c>
      <c r="Q7" s="1" t="str"/>
      <c r="R7" s="1" t="str"/>
      <c r="S7" s="1" t="str"/>
      <c r="T7" s="1" t="str"/>
      <c r="U7" s="1" t="str"/>
    </row>
    <row customHeight="true" ht="19" r="8">
      <c r="A8" s="111">
        <f>IF('路线'!B3="感性",INDEX('第一属性比较'!A2:A999,IF('路线'!B1="红",IF('路线'!C2=3,MATCH(J2,'第一属性比较'!U2:U999,0),IF('路线'!C2=2,MATCH(B2,'第一属性比较'!L2:L999,0),IF('路线'!C2=1,MATCH(C2,'第一属性比较'!L2:L999,0),MATCH(D2,'第一属性比较'!L2:L999,0)))),IF('路线'!B1="蓝",IF('路线'!C3=3,MATCH(J3,'第一属性比较'!V2:V999,0),IF('路线'!C3=2,MATCH(B3,'第一属性比较'!O2:O999,0),IF('路线'!C3=1,MATCH(C3,'第一属性比较'!O2:O999,0),MATCH(D3,'第一属性比较'!O2:O999,0)))),IF('路线'!C4=3,MATCH(J4,'第一属性比较'!W2:W999,0),IF('路线'!C4=2,MATCH(B4,'第一属性比较'!R2:R999,0),IF('路线'!C4=1,MATCH(C4,'第一属性比较'!R2:R999,0),MATCH(D4,'第一属性比较'!R2:R999,0))))))),IF('路线'!B3="理性",INDEX('第一属性比较'!A2:A999,IF('路线'!B1="红",IF('路线'!C2=3,MATCH(J2,'第一属性比较'!X2:X999,0),IF('路线'!C2=2,MATCH(B2,'第一属性比较'!M2:M999,0),IF('路线'!C2=1,MATCH(C2,'第一属性比较'!M2:M999,0),MATCH(D2,'第一属性比较'!M2:M999,0)))),IF('路线'!B1="蓝",IF('路线'!C3=3,MATCH(J3,'第一属性比较'!Y2:Y999,0),IF('路线'!C3=2,MATCH(B3,'第一属性比较'!P2:P999,0),IF('路线'!C3=1,MATCH(C3,'第一属性比较'!P2:P999,0),MATCH(D3,'第一属性比较'!P2:P999,0)))),IF('路线'!C4=3,MATCH(J4,'第一属性比较'!Z2:Z999,0),IF('路线'!C4=2,MATCH(B4,'第一属性比较'!S2:S999,0),IF('路线'!C4=1,MATCH(C4,'第一属性比较'!S2:S999,0),MATCH(D4,'第一属性比较'!S2:S999,0))))))),INDEX('第一属性比较'!A2:A999,IF('路线'!B1="红",IF('路线'!C2=3,MATCH(J2,'第一属性比较'!AA2:AA999,0),IF('路线'!C2=2,MATCH(B2,'第一属性比较'!N2:N999,0),IF('路线'!C2=1,MATCH(C2,'第一属性比较'!N2:N999,0),MATCH(D2,'第一属性比较'!N2:N999,0)))),IF('路线'!B1="蓝",IF('路线'!C3=3,MATCH(J3,'第一属性比较'!AB2:AB999,0),IF('路线'!C3=2,MATCH(B3,'第一属性比较'!Q2:Q999,0),IF('路线'!C3=1,MATCH(C3,'第一属性比较'!Q2:Q999,0),MATCH(D3,'第一属性比较'!Q2:Q999,0)))),IF('路线'!C4=3,MATCH(J4,'第一属性比较'!AC2:AC999,0),IF('路线'!C4=2,MATCH(B4,'第一属性比较'!T2:T999,0),IF('路线'!C4=1,MATCH(C4,'第一属性比较'!T2:T999,0),MATCH(D4,'第一属性比较'!T2:T999,0)))))))))</f>
      </c>
      <c r="B8" s="1" t="str"/>
      <c r="C8" s="1" t="str"/>
      <c r="D8" s="111">
        <f>IF(A8=D7,IF('路线'!B3="感性",INDEX('第一属性比较'!A2:A999,IF('路线'!B1="红",IF('路线'!C2=3,MATCH(J2,'第一属性比较'!U2:U999,0),IF('路线'!C2=2,MATCH(C2,'第一属性比较'!L2:L999,0),IF('路线'!C2=1,MATCH(D2,'第一属性比较'!L2:L999,0),MATCH(E2,'第一属性比较'!L2:L999,0)))),IF('路线'!B1="蓝",IF('路线'!C3=3,MATCH(J3,'第一属性比较'!V2:V999,0),IF('路线'!C3=2,MATCH(C3,'第一属性比较'!O2:O999,0),IF('路线'!C3=1,MATCH(D3,'第一属性比较'!O2:O999,0),MATCH(E3,'第一属性比较'!O2:O999,0)))),IF('路线'!C4=3,MATCH(J4,'第一属性比较'!W2:W999,0),IF('路线'!C4=2,MATCH(C4,'第一属性比较'!R2:R999,0),IF('路线'!C4=1,MATCH(D4,'第一属性比较'!R2:R999,0),MATCH(E4,'第一属性比较'!R2:R999,0))))))),IF('路线'!B3="理性",INDEX('第一属性比较'!A2:A999,IF('路线'!B1="红",IF('路线'!C2=3,MATCH(J2,'第一属性比较'!X2:X999,0),IF('路线'!C2=2,MATCH(C2,'第一属性比较'!M2:M999,0),IF('路线'!C2=1,MATCH(D2,'第一属性比较'!M2:M999,0),MATCH(E2,'第一属性比较'!M2:M999,0)))),IF('路线'!B1="蓝",IF('路线'!C3=3,MATCH(J3,'第一属性比较'!Y2:Y999,0),IF('路线'!C3=2,MATCH(C3,'第一属性比较'!P2:P999,0),IF('路线'!C3=1,MATCH(D3,'第一属性比较'!P2:P999,0),MATCH(E3,'第一属性比较'!P2:P999,0)))),IF('路线'!C4=3,MATCH(J4,'第一属性比较'!Z2:Z999,0),IF('路线'!C4=2,MATCH(C4,'第一属性比较'!S2:S999,0),IF('路线'!C4=1,MATCH(D4,'第一属性比较'!S2:S999,0),MATCH(E4,'第一属性比较'!S2:S999,0))))))),INDEX('第一属性比较'!A2:A999,IF('路线'!B1="红",IF('路线'!C2=3,MATCH(J2,'第一属性比较'!AA2:AA999,0),IF('路线'!C2=2,MATCH(C2,'第一属性比较'!N2:N999,0),IF('路线'!C2=1,MATCH(D2,'第一属性比较'!N2:N999,0),MATCH(E2,'第一属性比较'!N2:N999,0)))),IF('路线'!B1="蓝",IF('路线'!C3=3,MATCH(J3,'第一属性比较'!AB2:AB999,0),IF('路线'!C3=2,MATCH(C3,'第一属性比较'!Q2:Q999,0),IF('路线'!C3=1,MATCH(D3,'第一属性比较'!Q2:Q999,0),MATCH(E3,'第一属性比较'!Q2:Q999,0)))),IF('路线'!C4=3,MATCH(J4,'第一属性比较'!AC2:AC999,0),IF('路线'!C4=2,MATCH(C4,'第一属性比较'!T2:T999,0),IF('路线'!C4=1,MATCH(D4,'第一属性比较'!T2:T999,0),MATCH(E4,'第一属性比较'!T2:T999,0))))))))),A8)</f>
      </c>
      <c r="E8" s="1" t="str"/>
      <c r="F8" s="1" t="str"/>
      <c r="G8" s="114">
        <f>IF('路线'!B3="感性",IF(AND(D8=A6,A7=A6),INDEX('第一属性比较'!A2:A999,IF('路线'!B1="红",IF('路线'!C2=3,MATCH(J2,'第一属性比较'!U2:U999,0),IF('路线'!C2=2,MATCH(D2,'第一属性比较'!L2:L999,0),IF('路线'!C2=1,MATCH(E2,'第一属性比较'!L2:L999,0),MATCH(F2,'第一属性比较'!L2:L999,0)))),IF('路线'!B1="蓝",IF('路线'!C3=3,MATCH(J3,'第一属性比较'!V2:V999,0),IF('路线'!C3=2,MATCH(D3,'第一属性比较'!O2:O999,0),IF('路线'!C3=1,MATCH(E3,'第一属性比较'!O2:O999,0),MATCH(F3,'第一属性比较'!O2:O999,0)))),IF('路线'!C4=3,MATCH(J4,'第一属性比较'!W2:W999,0),IF('路线'!C4=2,MATCH(D4,'第一属性比较'!R2:R999,0),IF('路线'!C4=1,MATCH(E4,'第一属性比较'!R2:R999,0),MATCH(F4,'第一属性比较'!R2:R999,0))))))),IF(D8=A6,INDEX('第一属性比较'!A2:A999,IF('路线'!B1="红",IF('路线'!C2=3,MATCH(J2,'第一属性比较'!U2:U999,0),IF('路线'!C2=2,MATCH(C2,'第一属性比较'!L2:L999,0),IF('路线'!C2=1,MATCH(D2,'第一属性比较'!L2:L999,0),MATCH(E2,'第一属性比较'!L2:L999,0)))),IF('路线'!B1="蓝",IF('路线'!C3=3,MATCH(J3,'第一属性比较'!V2:V999,0),IF('路线'!C3=2,MATCH(C3,'第一属性比较'!O2:O999,0),IF('路线'!C3=1,MATCH(D3,'第一属性比较'!O2:O999,0),MATCH(E3,'第一属性比较'!O2:O999,0)))),IF('路线'!C4=3,MATCH(J4,'第一属性比较'!W2:W999,0),IF('路线'!C4=2,MATCH(C4,'第一属性比较'!R2:R999,0),IF('路线'!C4=1,MATCH(D4,'第一属性比较'!R2:R999,0),MATCH(E4,'第一属性比较'!R2:R999,0))))))),D8)),IF('路线'!B3="理性",IF(AND(D8=A6,A7=A6),INDEX('第一属性比较'!A2:A999,IF('路线'!B1="红",IF('路线'!C2=3,MATCH(J2,'第一属性比较'!X2:X999,0),IF('路线'!C2=2,MATCH(D2,'第一属性比较'!M2:M999,0),IF('路线'!C2=1,MATCH(E2,'第一属性比较'!M2:M999,0),MATCH(F2,'第一属性比较'!M2:M999,0)))),IF('路线'!B1="蓝",IF('路线'!C3=3,MATCH(J3,'第一属性比较'!Y2:Y999,0),IF('路线'!C3=2,MATCH(D3,'第一属性比较'!P2:P999,0),IF('路线'!C3=1,MATCH(E3,'第一属性比较'!P2:P999,0),MATCH(F3,'第一属性比较'!P2:P999,0)))),IF('路线'!C4=3,MATCH(J4,'第一属性比较'!Z2:Z999,0),IF('路线'!C4=2,MATCH(D4,'第一属性比较'!S2:S999,0),IF('路线'!C4=1,MATCH(E4,'第一属性比较'!S2:S999,0),MATCH(F4,'第一属性比较'!S2:S999,0))))))),IF(D8=A6,INDEX('第一属性比较'!A2:A999,IF('路线'!B1="红",IF('路线'!C2=3,MATCH(J2,'第一属性比较'!X2:X999,0),IF('路线'!C2=2,MATCH(C2,'第一属性比较'!M2:M999,0),IF('路线'!C2=1,MATCH(D2,'第一属性比较'!M2:M999,0),MATCH(E2,'第一属性比较'!M2:M999,0)))),IF('路线'!B1="蓝",IF('路线'!C3=3,MATCH(J3,'第一属性比较'!Y2:Y999,0),IF('路线'!C3=2,MATCH(C3,'第一属性比较'!P2:P999,0),IF('路线'!C3=1,MATCH(D3,'第一属性比较'!P2:P999,0),MATCH(E3,'第一属性比较'!P2:P999,0)))),IF('路线'!C4=3,MATCH(J4,'第一属性比较'!Z2:Z999,0),IF('路线'!C4=2,MATCH(C4,'第一属性比较'!S2:S999,0),IF('路线'!C4=1,MATCH(D4,'第一属性比较'!S2:S999,0),MATCH(E4,'第一属性比较'!S2:S999,0))))))),D8)),IF(AND(D8=A6,A7=A6),INDEX('第一属性比较'!A2:A999,IF('路线'!B1="红",IF('路线'!C2=3,MATCH(J2,'第一属性比较'!AA2:AA999,0),IF('路线'!C2=2,MATCH(D2,'第一属性比较'!N2:N999,0),IF('路线'!C2=1,MATCH(E2,'第一属性比较'!N2:N999,0),MATCH(F2,'第一属性比较'!N2:N999,0)))),IF('路线'!B1="蓝",IF('路线'!C3=3,MATCH(J3,'第一属性比较'!AB2:AB999,0),IF('路线'!C3=2,MATCH(D3,'第一属性比较'!Q2:Q999,0),IF('路线'!C3=1,MATCH(E3,'第一属性比较'!Q2:Q999,0),MATCH(F3,'第一属性比较'!Q2:Q999,0)))),IF('路线'!C4=3,MATCH(J4,'第一属性比较'!AC2:AC999,0),IF('路线'!C4=2,MATCH(D4,'第一属性比较'!T2:T999,0),IF('路线'!C4=1,MATCH(E4,'第一属性比较'!T2:T999,0),MATCH(F4,'第一属性比较'!T2:T999,0))))))),IF(D8=A6,INDEX('第一属性比较'!A2:A999,IF('路线'!B1="红",IF('路线'!C2=3,MATCH(J2,'第一属性比较'!AA2:AA999,0),IF('路线'!C2=2,MATCH(C2,'第一属性比较'!N2:N999,0),IF('路线'!C2=1,MATCH(D2,'第一属性比较'!N2:N999,0),MATCH(E2,'第一属性比较'!N2:N999,0)))),IF('路线'!B1="蓝",IF('路线'!C3=3,MATCH(J3,'第一属性比较'!AB2:AB999,0),IF('路线'!C3=2,MATCH(C3,'第一属性比较'!Q2:Q999,0),IF('路线'!C3=1,MATCH(D3,'第一属性比较'!Q2:Q999,0),MATCH(E3,'第一属性比较'!Q2:Q999,0)))),IF('路线'!C4=3,MATCH(J4,'第一属性比较'!AC2:AC999,0),IF('路线'!C4=2,MATCH(C4,'第一属性比较'!T2:T999,0),IF('路线'!C4=1,MATCH(D4,'第一属性比较'!T2:T999,0),MATCH(E4,'第一属性比较'!T2:T999,0))))))),D8))))</f>
      </c>
      <c r="H8" s="3"/>
      <c r="I8" s="3"/>
      <c r="J8" s="3">
        <f>IF(G8=D7,IF('路线'!B3="感性",INDEX('第一属性比较'!A2:A999,IF('路线'!B1="红",IF('路线'!C2=3,MATCH(J2,'第一属性比较'!U2:U999,0),IF('路线'!C2=2,MATCH(D2,'第一属性比较'!L2:L999,0),IF('路线'!C2=1,MATCH(E2,'第一属性比较'!L2:L999,0),MATCH(F2,'第一属性比较'!L2:L999,0)))),IF('路线'!B1="蓝",IF('路线'!C3=3,MATCH(J3,'第一属性比较'!V2:V999,0),IF('路线'!C3=2,MATCH(D3,'第一属性比较'!O2:O999,0),IF('路线'!C3=1,MATCH(E3,'第一属性比较'!O2:O999,0),MATCH(F3,'第一属性比较'!O2:O999,0)))),IF('路线'!C4=3,MATCH(J4,'第一属性比较'!W2:W999,0),IF('路线'!C4=2,MATCH(D4,'第一属性比较'!R2:R999,0),IF('路线'!C4=1,MATCH(E4,'第一属性比较'!R2:R999,0),MATCH(F4,'第一属性比较'!R2:R999,0))))))),IF('路线'!B3="理性",INDEX('第一属性比较'!A2:A999,IF('路线'!B1="红",IF('路线'!C2=3,MATCH(J2,'第一属性比较'!X2:X999,0),IF('路线'!C2=2,MATCH(D2,'第一属性比较'!M2:M999,0),IF('路线'!C2=1,MATCH(E2,'第一属性比较'!M2:M999,0),MATCH(F2,'第一属性比较'!M2:M999,0)))),IF('路线'!B1="蓝",IF('路线'!C3=3,MATCH(J3,'第一属性比较'!Y2:Y999,0),IF('路线'!C3=2,MATCH(D3,'第一属性比较'!P2:P999,0),IF('路线'!C3=1,MATCH(E3,'第一属性比较'!P2:P999,0),MATCH(F3,'第一属性比较'!P2:P999,0)))),IF('路线'!C4=3,MATCH(J4,'第一属性比较'!Z2:Z999,0),IF('路线'!C4=2,MATCH(D4,'第一属性比较'!S2:S999,0),IF('路线'!C4=1,MATCH(E4,'第一属性比较'!S2:S999,0),MATCH(F4,'第一属性比较'!S2:S999,0))))))),INDEX('第一属性比较'!A2:A999,IF('路线'!B1="红",IF('路线'!C2=3,MATCH(J2,'第一属性比较'!AA2:AA999,0),IF('路线'!C2=2,MATCH(D2,'第一属性比较'!N2:N999,0),IF('路线'!C2=1,MATCH(E2,'第一属性比较'!N2:N999,0),MATCH(F2,'第一属性比较'!N2:N999,0)))),IF('路线'!B1="蓝",IF('路线'!C3=3,MATCH(J3,'第一属性比较'!AB2:AB999,0),IF('路线'!C3=2,MATCH(D3,'第一属性比较'!Q2:Q999,0),IF('路线'!C3=1,MATCH(E3,'第一属性比较'!Q2:Q999,0),MATCH(F3,'第一属性比较'!Q2:Q999,0)))),IF('路线'!C4=3,MATCH(J4,'第一属性比较'!AC2:AC999,0),IF('路线'!C4=2,MATCH(D4,'第一属性比较'!T2:T999,0),IF('路线'!C4=1,MATCH(E4,'第一属性比较'!T2:T999,0),MATCH(F4,'第一属性比较'!T2:T999,0))))))))),G8)</f>
      </c>
      <c r="K8" s="1" t="str"/>
      <c r="L8" s="1" t="str"/>
      <c r="M8" s="124">
        <f>IF(M7=A6,IF('路线'!B1="红",IF('路线'!C2=0,P8,INDEX('第一属性比较'!A2:A999,IF('路线'!B3="感性",MATCH(S2,'第一属性比较'!AG2:AG999,0),IF('路线'!B3="理性",MATCH(S2,'第一属性比较'!AM2:AM999,0),MATCH(S2,'第一属性比较'!AS2:AS999,0))))),IF('路线'!B1="蓝",IF('路线'!C3=0,P8,INDEX('第一属性比较'!A2:A999,IF('路线'!B3="感性",MATCH(S3,'第一属性比较'!AH2:AH999,0),IF('路线'!B3="理性",MATCH(S3,'第一属性比较'!AN2:AN999,0),MATCH(S3,'第一属性比较'!AT2:AT999,0))))),IF('路线'!C4=0,P8,INDEX('第一属性比较'!A2:A999,IF('路线'!B3="感性",MATCH(S4,'第一属性比较'!AI2:AI999,0),IF('路线'!B3="理性",MATCH(S4,'第一属性比较'!AO2:AO999,0),MATCH(S4,'第一属性比较'!AU2:AU999,0))))))),M7)</f>
      </c>
      <c r="N8" s="3"/>
      <c r="O8" s="3"/>
      <c r="P8" s="114">
        <f>IF(P7=A6,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7)</f>
      </c>
      <c r="Q8" s="1" t="str"/>
      <c r="R8" s="1" t="str"/>
      <c r="S8" s="1" t="str"/>
      <c r="T8" s="1" t="str"/>
      <c r="U8" s="1" t="str"/>
    </row>
    <row customHeight="true" ht="19" r="9">
      <c r="A9" s="111">
        <f>IF('路线'!B3="感性",INDEX('第二属性比较'!A2:A1100,IF('路线'!B2="红",IF('路线'!C2&gt;=1,MATCH(H24,'第二属性比较'!U2:U1100,0),MATCH(B24,'第二属性比较'!L2:L1100,0)),IF('路线'!B2="蓝",IF('路线'!C3&gt;=1,MATCH(H25,'第二属性比较'!V2:V1100,0),MATCH(B25,'第二属性比较'!O2:O1100,0)),IF('路线'!C4&gt;=1,MATCH(H26,'第二属性比较'!W2:W1100,0),MATCH(B26,'第二属性比较'!R2:R1100,0))))),IF('路线'!B3="理性",INDEX('第二属性比较'!A2:A1100,IF('路线'!B2="红",IF('路线'!C2&gt;=1,MATCH(H24,'第二属性比较'!X2:X1100,0),MATCH(B24,'第二属性比较'!M2:M1100,0)),IF('路线'!B2="蓝",IF('路线'!C3&gt;=1,MATCH(H25,'第二属性比较'!Y2:Y1100,0),MATCH(B25,'第二属性比较'!P2:P1100,0)),IF('路线'!C4&gt;=1,MATCH(H26,'第二属性比较'!Z2:Z1100,0),MATCH(B26,'第二属性比较'!S2:S1100,0))))),INDEX('第二属性比较'!A2:A1100,IF('路线'!B2="红",IF('路线'!C2&gt;=1,MATCH(H24,'第二属性比较'!AA2:AA1100,0),MATCH(B24,'第二属性比较'!N2:N1100,0)),IF('路线'!B2="蓝",IF('路线'!C3&gt;=1,MATCH(H25,'第二属性比较'!AB2:AB1100,0),MATCH(B25,'第二属性比较'!Q2:Q1100,0)),IF('路线'!C4&gt;=1,MATCH(H26,'第二属性比较'!AC2:AC1100,0),MATCH(B26,'第二属性比较'!T2:T1100,0)))))))</f>
      </c>
      <c r="B9" s="1" t="str"/>
      <c r="C9" s="1" t="str"/>
      <c r="D9" s="1" t="str"/>
      <c r="E9" s="1" t="str"/>
      <c r="F9" s="1" t="str"/>
      <c r="G9" s="3"/>
      <c r="H9" s="3"/>
      <c r="I9" s="3"/>
      <c r="J9" s="3"/>
      <c r="K9" s="1" t="str"/>
      <c r="L9" s="1" t="str"/>
      <c r="M9" s="124">
        <f>IF(AND(M8=D7,M7=A6),IF('路线'!B1="红",IF('路线'!C2=0,P9,INDEX('第一属性比较'!A2:A999,IF('路线'!B3="感性",MATCH(T2,'第一属性比较'!AG2:AG999,0),IF('路线'!B3="理性",MATCH(T2,'第一属性比较'!AM2:AM999,0),MATCH(T2,'第一属性比较'!AS2:AS999,0))))),IF('路线'!B1="蓝",IF('路线'!C3=0,P9,INDEX('第一属性比较'!A2:A999,IF('路线'!B3="感性",MATCH(T3,'第一属性比较'!AH2:AH999,0),IF('路线'!B3="理性",MATCH(T3,'第一属性比较'!AN2:AN999,0),MATCH(T3,'第一属性比较'!AT2:AT999,0))))),IF('路线'!C4=0,P9,INDEX('第一属性比较'!A2:A999,IF('路线'!B3="感性",MATCH(T4,'第一属性比较'!AI2:AI999,0),IF('路线'!B3="理性",MATCH(T4,'第一属性比较'!AO2:AO999,0),MATCH(T4,'第一属性比较'!AU2:AU999,0))))))),IF(M8=D7,IF('路线'!B1="红",IF('路线'!C2=0,P9,INDEX('第一属性比较'!A2:A999,IF('路线'!B3="感性",MATCH(S2,'第一属性比较'!AG2:AG999,0),IF('路线'!B3="理性",MATCH(S2,'第一属性比较'!AM2:AM999,0),MATCH(S2,'第一属性比较'!AS2:AS999,0))))),IF('路线'!B1="蓝",IF('路线'!C3=0,P9,INDEX('第一属性比较'!A2:A999,IF('路线'!B3="感性",MATCH(S3,'第一属性比较'!AH2:AH999,0),IF('路线'!B3="理性",MATCH(S3,'第一属性比较'!AN2:AN999,0),MATCH(S3,'第一属性比较'!AT2:AT999,0))))),IF('路线'!C4=0,P9,INDEX('第一属性比较'!A2:A999,IF('路线'!B3="感性",MATCH(S4,'第一属性比较'!AI2:AI999,0),IF('路线'!B3="理性",MATCH(S4,'第一属性比较'!AO2:AO999,0),MATCH(S4,'第一属性比较'!AU2:AU999,0))))))),M8))</f>
      </c>
      <c r="N9" s="3"/>
      <c r="O9" s="3"/>
      <c r="P9" s="114">
        <f>IF(AND(P7=A6,P8=D7),IF('路线'!B3="感性",INDEX('第一属性比较'!A2:A999,IF('路线'!B1="红",MATCH(O2,'第一属性比较'!AD2:AD999,0),IF('路线'!B1="蓝",MATCH(O3,'第一属性比较'!AE2:AE999,0),MATCH(O4,'第一属性比较'!AF2:AF999,0)))),IF('路线'!B3="理性",INDEX('第一属性比较'!A2:A999,IF('路线'!B1="红",MATCH(O2,'第一属性比较'!AJ2:AJ999,0),IF('路线'!B1="蓝",MATCH(O3,'第一属性比较'!AK2:AK999,0),MATCH(O4,'第一属性比较'!AL2:AL999,0)))),INDEX('第一属性比较'!A2:A999,IF('路线'!B1="红",MATCH(O2,'第一属性比较'!AP2:AP999,0),IF('路线'!B1="蓝",MATCH(O3,'第一属性比较'!AQ2:AQ999,0),MATCH(O4,'第一属性比较'!AR2:AR999,0)))))),IF(P8=D7,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8))</f>
      </c>
      <c r="Q9" s="1" t="str"/>
      <c r="R9" s="1" t="str"/>
      <c r="S9" s="1" t="str"/>
      <c r="T9" s="1" t="str"/>
      <c r="U9" s="1" t="str"/>
    </row>
    <row customHeight="true" ht="19" r="10">
      <c r="A10" s="111">
        <f>IF('路线'!B3="感性",INDEX('第二属性比较'!A2:A1100,IF('路线'!B2="红",IF('路线'!C2&gt;=2,MATCH(I24,'第二属性比较'!U2:U1100,0),IF('路线'!C2=1,MATCH(B24,'第二属性比较'!L2:L1100,0),MATCH(C24,'第二属性比较'!L2:L1100,0))),IF('路线'!B2="蓝",IF('路线'!C3&gt;=2,MATCH(I25,'第二属性比较'!V2:V1100,0),IF('路线'!C3=1,MATCH(B25,'第二属性比较'!O2:O1100,0),MATCH(C25,'第二属性比较'!O2:O1100,0))),IF('路线'!C4&gt;=2,MATCH(I26,'第二属性比较'!W2:W1100,0),IF('路线'!C4=1,MATCH(B26,'第二属性比较'!R2:R1100,0),MATCH(C26,'第二属性比较'!R2:R1100,0)))))),IF('路线'!B3="理性",INDEX('第二属性比较'!A2:A1100,IF('路线'!B2="红",IF('路线'!C2&gt;=2,MATCH(I24,'第二属性比较'!X2:X1100,0),IF('路线'!C2=1,MATCH(B24,'第二属性比较'!M2:M1100,0),MATCH(C24,'第二属性比较'!M2:M1100,0))),IF('路线'!B2="蓝",IF('路线'!C3&gt;=2,MATCH(I25,'第二属性比较'!Y2:Y1100,0),IF('路线'!C3=1,MATCH(B25,'第二属性比较'!P2:P1100,0),MATCH(C25,'第二属性比较'!P2:P1100,0))),IF('路线'!C4&gt;=2,MATCH(I26,'第二属性比较'!Z2:Z1100,0),IF('路线'!C4=1,MATCH(B26,'第二属性比较'!S2:S1100,0),MATCH(C26,'第二属性比较'!S2:S1100,0)))))),INDEX('第二属性比较'!A2:A1100,IF('路线'!B2="红",IF('路线'!C2&gt;=2,MATCH(I24,'第二属性比较'!AA2:AA1100,0),IF('路线'!C2=1,MATCH(B24,'第二属性比较'!N2:N1100,0),MATCH(C24,'第二属性比较'!N2:N1100,0))),IF('路线'!B2="蓝",IF('路线'!C3&gt;=2,MATCH(I25,'第二属性比较'!AB2:AB1100,0),IF('路线'!C3=1,MATCH(B25,'第二属性比较'!Q2:Q1100,0),MATCH(C25,'第二属性比较'!Q2:Q1100,0))),IF('路线'!C4&gt;=2,MATCH(I26,'第二属性比较'!AC2:AC1100,0),IF('路线'!C4=1,MATCH(B26,'第二属性比较'!T2:T1100,0),MATCH(C26,'第二属性比较'!T2:T1100,0))))))))</f>
      </c>
      <c r="B10" s="1" t="str"/>
      <c r="C10" s="1" t="str"/>
      <c r="D10" s="111">
        <f>IF(A10=A9,IF('路线'!B3="感性",INDEX('第二属性比较'!A2:A1100,IF('路线'!B2="红",IF('路线'!C2&gt;=2,MATCH(I24,'第二属性比较'!U2:U1100,0),IF('路线'!C2=1,MATCH(C24,'第二属性比较'!L2:L1100,0),MATCH(D24,'第二属性比较'!L2:L1100,0))),IF('路线'!B2="蓝",IF('路线'!C3&gt;=2,MATCH(I25,'第二属性比较'!V2:V1100,0),IF('路线'!C3=1,MATCH(C25,'第二属性比较'!O2:O1100,0),MATCH(D25,'第二属性比较'!O2:O1100,0))),IF('路线'!C4&gt;=2,MATCH(I26,'第二属性比较'!W2:W1100,0),IF('路线'!C4=1,MATCH(C26,'第二属性比较'!R2:R1100,0),MATCH(D26,'第二属性比较'!R2:R1100,0)))))),IF('路线'!B3="理性",INDEX('第二属性比较'!A2:A1100,IF('路线'!B2="红",IF('路线'!C2&gt;=2,MATCH(I24,'第二属性比较'!X2:X1100,0),IF('路线'!C2=1,MATCH(C24,'第二属性比较'!M2:M1100,0),MATCH(D24,'第二属性比较'!M2:M1100,0))),IF('路线'!B2="蓝",IF('路线'!C3&gt;=2,MATCH(I25,'第二属性比较'!Y2:Y1100,0),IF('路线'!C3=1,MATCH(C25,'第二属性比较'!P2:P1100,0),MATCH(D25,'第二属性比较'!P2:P1100,0))),IF('路线'!C4&gt;=2,MATCH(I26,'第二属性比较'!Z2:Z1100,0),IF('路线'!C4=1,MATCH(C26,'第二属性比较'!S2:S1100,0),MATCH(D26,'第二属性比较'!T2:T1100,0)))))),INDEX('第二属性比较'!A2:A1100,IF('路线'!B2="红",IF('路线'!C2&gt;=2,MATCH(I24,'第二属性比较'!AA2:AA1100,0),IF('路线'!C2=1,MATCH(C24,'第二属性比较'!N2:N1100,0),MATCH(D24,'第二属性比较'!N2:N1100,0))),IF('路线'!B2="蓝",IF('路线'!C3&gt;=2,MATCH(I25,'第二属性比较'!AB2:AB1100,0),IF('路线'!C3=1,MATCH(C25,'第二属性比较'!Q2:Q1100,0),MATCH(D25,'第二属性比较'!Q2:Q1100,0))),IF('路线'!C4&gt;=2,MATCH(I26,'第二属性比较'!AC2:AC1100,0),IF('路线'!C4=1,MATCH(C26,'第二属性比较'!T2:T1100,0),MATCH(D26,'第二属性比较'!T2:T1100,0)))))))),A10)</f>
      </c>
      <c r="E10" s="1" t="str"/>
      <c r="F10" s="1" t="str"/>
      <c r="G10" s="3"/>
      <c r="H10" s="3"/>
      <c r="I10" s="3"/>
      <c r="J10" s="3"/>
      <c r="K10" s="1" t="str"/>
      <c r="L10" s="1" t="str"/>
      <c r="M10" s="124">
        <f>IF(AND(M9=J8,M8=D7,M7=A6),IF('路线'!B1="红",IF('路线'!C2=0,P10,INDEX('第一属性比较'!A2:A999,IF('路线'!B3="感性",MATCH(U2,'第一属性比较'!AG2:AG999,0),IF('路线'!B3="理性",MATCH(U2,'第一属性比较'!AM2:AM999,0),MATCH(U2,'第一属性比较'!AS2:AS999,0))))),IF('路线'!B1="蓝",IF('路线'!C3=0,P10,INDEX('第一属性比较'!A2:A999,IF('路线'!B3="感性",MATCH(U3,'第一属性比较'!AH2:AH999,0),IF('路线'!B3="理性",MATCH(U3,'第一属性比较'!AN2:AN999,0),MATCH(U3,'第一属性比较'!AT2:AT999,0))))),IF('路线'!C4=0,P10,INDEX('第一属性比较'!A2:A999,IF('路线'!B3="感性",MATCH(U4,'第一属性比较'!AI2:AI999,0),IF('路线'!B3="理性",MATCH(U4,'第一属性比较'!AO2:AO999,0),MATCH(U4,'第一属性比较'!AU2:AU999,0))))))),IF(OR(AND(M9=J8,M8=D7),AND(M9=J8,M7=A6)),IF('路线'!B1="红",IF('路线'!C2=0,P10,INDEX('第一属性比较'!A2:A999,IF('路线'!B3="感性",MATCH(T2,'第一属性比较'!AG2:AG999,0),IF('路线'!B3="理性",MATCH(T2,'第一属性比较'!AM2:AM999,0),MATCH(T2,'第一属性比较'!AS2:AS999,0))))),IF('路线'!B1="蓝",IF('路线'!C3=0,P10,INDEX('第一属性比较'!A2:A999,IF('路线'!B3="感性",MATCH(T3,'第一属性比较'!AH2:AH999,0),IF('路线'!B3="理性",MATCH(T3,'第一属性比较'!AN2:AN999,0),MATCH(T3,'第一属性比较'!AT2:AT999,0))))),IF('路线'!C4=0,P10,INDEX('第一属性比较'!A2:A999,IF('路线'!B3="感性",MATCH(T4,'第一属性比较'!AI2:AI999,0),IF('路线'!B3="理性",MATCH(T4,'第一属性比较'!AO2:AO999,0),MATCH(T4,'第一属性比较'!AU2:AU999,0))))))),IF(M9=J8,IF('路线'!B1="红",IF('路线'!C2=0,P10,INDEX('第一属性比较'!A2:A999,IF('路线'!B3="感性",MATCH(S2,'第一属性比较'!AG2:AG999,0),IF('路线'!B3="理性",MATCH(S2,'第一属性比较'!AM2:AM999,0),MATCH(S2,'第一属性比较'!AS2:AS999,0))))),IF('路线'!B1="蓝",IF('路线'!C3=0,P10,INDEX('第一属性比较'!A2:A999,IF('路线'!B3="感性",MATCH(S3,'第一属性比较'!AH2:AH999,0),IF('路线'!B3="理性",MATCH(S3,'第一属性比较'!AN2:AN999,0),MATCH(S3,'第一属性比较'!AT2:AT999,0))))),IF('路线'!C4=0,P10,INDEX('第一属性比较'!A2:A999,IF('路线'!B3="感性",MATCH(S4,'第一属性比较'!AI2:AI999,0),IF('路线'!B3="理性",MATCH(S4,'第一属性比较'!AO2:AO999,0),MATCH(S4,'第一属性比较'!AU2:AU999,0))))))),M9)))</f>
      </c>
      <c r="N10" s="3"/>
      <c r="O10" s="3"/>
      <c r="P10" s="114">
        <f>IF(AND(P7=A6,P8=D7,P9=J8),IF('路线'!B3="感性",INDEX('第一属性比较'!A2:A999,IF('路线'!B1="红",MATCH(P2,'第一属性比较'!AD2:AD999,0),IF('路线'!B1="蓝",MATCH(P3,'第一属性比较'!AE2:AE999,0),MATCH(P4,'第一属性比较'!AF2:AF999,0)))),IF('路线'!B3="理性",INDEX('第一属性比较'!A2:A999,IF('路线'!B1="红",MATCH(P2,'第一属性比较'!AJ2:AJ999,0),IF('路线'!B1="蓝",MATCH(P3,'第一属性比较'!AK2:AK999,0),MATCH(P4,'第一属性比较'!AL2:AL999,0)))),INDEX('第一属性比较'!A2:A999,IF('路线'!B1="红",MATCH(P2,'第一属性比较'!AP2:AP999,0),IF('路线'!B1="蓝",MATCH(P3,'第一属性比较'!AQ2:AQ999,0),MATCH(P4,'第一属性比较'!AR2:AR999,0)))))),IF(OR(AND(P7=A6,P9=J8),AND(P8=D7,P9=J8)),IF('路线'!B3="感性",INDEX('第一属性比较'!A2:A999,IF('路线'!B1="红",MATCH(O2,'第一属性比较'!AD2:AD999,0),IF('路线'!B1="蓝",MATCH(O3,'第一属性比较'!AE2:AE999,0),MATCH(O4,'第一属性比较'!AF2:AF999,0)))),IF('路线'!B3="理性",INDEX('第一属性比较'!A2:A999,IF('路线'!B1="红",MATCH(O2,'第一属性比较'!AJ2:AJ999,0),IF('路线'!B1="蓝",MATCH(O3,'第一属性比较'!AK2:AK999,0),MATCH(O4,'第一属性比较'!AL2:AL999,0)))),INDEX('第一属性比较'!A2:A999,IF('路线'!B1="红",MATCH(O2,'第一属性比较'!AP2:AP999,0),IF('路线'!B1="蓝",MATCH(O3,'第一属性比较'!AQ2:AQ999,0),MATCH(O4,'第一属性比较'!AR2:AR999,0)))))),IF(P9=J8,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9)))</f>
      </c>
      <c r="Q10" s="1" t="str"/>
      <c r="R10" s="1" t="str"/>
      <c r="S10" s="1" t="str"/>
      <c r="T10" s="1" t="str"/>
      <c r="U10" s="1" t="str"/>
    </row>
    <row customHeight="true" ht="19" r="11">
      <c r="A11" s="111">
        <f>IF('路线'!B3="感性",INDEX('第二属性比较'!A2:A1100,IF('路线'!B2="红",IF('路线'!C2=3,MATCH(J24,'第二属性比较'!U2:U1100,0),IF('路线'!C2=2,MATCH(B24,'第二属性比较'!L2:L1100,0),IF('路线'!C2=1,MATCH(C24,'第二属性比较'!L2:L1100,0),MATCH(D24,'第二属性比较'!L2:L1100,0)))),IF('路线'!B2="蓝",IF('路线'!C3=3,MATCH(J25,'第二属性比较'!V2:V1100,0),IF('路线'!C3=2,MATCH(B25,'第二属性比较'!O2:O1100,0),IF('路线'!C3=1,MATCH(C25,'第二属性比较'!O2:O1100,0),MATCH(D25,'第二属性比较'!O2:O1100,0)))),IF('路线'!C4=3,MATCH(J26,'第二属性比较'!W2:W1100,0),IF('路线'!C4=2,MATCH(B26,'第二属性比较'!R2:R1100,0),IF('路线'!C4=1,MATCH(C26,'第二属性比较'!R2:R1100,0),MATCH(D26,'第二属性比较'!R2:R1100,0))))))),IF('路线'!B3="理性",INDEX('第二属性比较'!A2:A1100,IF('路线'!B2="红",IF('路线'!C2=3,MATCH(J24,'第二属性比较'!X2:X1100,0),IF('路线'!C2=2,MATCH(B24,'第二属性比较'!M2:M1100,0),IF('路线'!C2=1,MATCH(C24,'第二属性比较'!M2:M1100,0),MATCH(D24,'第二属性比较'!M2:M1100,0)))),IF('路线'!B2="蓝",IF('路线'!C3=3,MATCH(J25,'第二属性比较'!Y2:Y1100,0),IF('路线'!C3=2,MATCH(B25,'第二属性比较'!P2:P1100,0),IF('路线'!C3=1,MATCH(C25,'第二属性比较'!P2:P1100,0),MATCH(D25,'第二属性比较'!P2:P1100,0)))),IF('路线'!C4=3,MATCH(J26,'第二属性比较'!Z2:Z1100,0),IF('路线'!C4=2,MATCH(B26,'第二属性比较'!S2:S1100,0),IF('路线'!C4=1,MATCH(C26,'第二属性比较'!S2:S1100,0),MATCH(D26,'第二属性比较'!S2:S1100,0))))))),INDEX('第二属性比较'!A2:A1100,IF('路线'!B2="红",IF('路线'!C2=3,MATCH(J24,'第二属性比较'!AA2:AA1100,0),IF('路线'!C2=2,MATCH(B24,'第二属性比较'!N2:N1100,0),IF('路线'!C2=1,MATCH(C24,'第二属性比较'!N2:N1100,0),MATCH(D24,'第二属性比较'!N2:N1100,0)))),IF('路线'!B2="蓝",IF('路线'!C3=3,MATCH(J25,'第二属性比较'!AB2:AB1100,0),IF('路线'!C3=2,MATCH(B25,'第二属性比较'!Q2:Q1100,0),IF('路线'!C3=1,MATCH(C25,'第二属性比较'!Q2:Q1100,0),MATCH(D25,'第二属性比较'!Q2:Q1100,0)))),IF('路线'!C4=3,MATCH(J26,'第二属性比较'!AC2:AC1100,0),IF('路线'!C4=2,MATCH(B26,'第二属性比较'!T2:T1100,0),IF('路线'!C4=1,MATCH(C26,'第二属性比较'!T2:T1100,0),MATCH(D26,'第二属性比较'!T2:T1100,0)))))))))</f>
      </c>
      <c r="B11" s="1" t="str"/>
      <c r="C11" s="1" t="str"/>
      <c r="D11" s="111">
        <f>IF(A11=D10,IF('路线'!B3="感性",INDEX('第二属性比较'!A2:A1100,IF('路线'!B2="红",IF('路线'!C2=3,MATCH(J24,'第二属性比较'!U2:U1100,0),IF('路线'!C2=2,MATCH(C24,'第二属性比较'!L2:L1100,0),IF('路线'!C2=1,MATCH(D24,'第二属性比较'!L2:L1100,0),MATCH(E24,'第二属性比较'!L2:L1100,0)))),IF('路线'!B2="蓝",IF('路线'!C3=3,MATCH(J25,'第二属性比较'!V2:V1100,0),IF('路线'!C3=2,MATCH(C25,'第二属性比较'!O2:O1100,0),IF('路线'!C3=1,MATCH(D25,'第二属性比较'!O2:O1100,0),MATCH(E25,'第二属性比较'!O2:O1100,0)))),IF('路线'!C4=3,MATCH(J26,'第二属性比较'!W2:W1100,0),IF('路线'!C4=2,MATCH(C26,'第二属性比较'!R2:R1100,0),IF('路线'!C4=1,MATCH(D26,'第二属性比较'!R2:R1100,0),MATCH(E26,'第二属性比较'!R2:R1100,0))))))),IF('路线'!B3="理性",INDEX('第二属性比较'!A2:A1100,IF('路线'!B2="红",IF('路线'!C2=3,MATCH(J24,'第二属性比较'!X2:X1100,0),IF('路线'!C2=2,MATCH(C24,'第二属性比较'!M2:M1100,0),IF('路线'!C2=1,MATCH(D24,'第二属性比较'!M2:M1100,0),MATCH(E24,'第二属性比较'!M2:M1100,0)))),IF('路线'!B2="蓝",IF('路线'!C3=3,MATCH(J25,'第二属性比较'!Y2:Y1100,0),IF('路线'!C3=2,MATCH(C25,'第二属性比较'!P2:P1100,0),IF('路线'!C3=1,MATCH(D25,'第二属性比较'!P2:P1100,0),MATCH(E25,'第二属性比较'!P2:P1100,0)))),IF('路线'!C4=3,MATCH(J26,'第二属性比较'!Z2:Z1100,0),IF('路线'!C4=2,MATCH(C26,'第二属性比较'!S2:S1100,0),IF('路线'!C4=1,MATCH(D26,'第二属性比较'!S2:S1100,0),MATCH(E26,'第二属性比较'!S2:S1100,0))))))),INDEX('第二属性比较'!A2:A1100,IF('路线'!B2="红",IF('路线'!C2=3,MATCH(J24,'第二属性比较'!AA2:AA1100,0),IF('路线'!C2=2,MATCH(C24,'第二属性比较'!N2:N1100,0),IF('路线'!C2=1,MATCH(D24,'第二属性比较'!N2:N1100,0),MATCH(E24,'第二属性比较'!N2:N1100,0)))),IF('路线'!B2="蓝",IF('路线'!C3=3,MATCH(J25,'第二属性比较'!AB2:AB1100,0),IF('路线'!C3=2,MATCH(C25,'第二属性比较'!Q2:Q1100,0),IF('路线'!C3=1,MATCH(D25,'第二属性比较'!Q2:Q1100,0),MATCH(E25,'第二属性比较'!Q2:Q1100,0)))),IF('路线'!C4=3,MATCH(J26,'第二属性比较'!AC2:AC1100,0),IF('路线'!C4=2,MATCH(C26,'第二属性比较'!T2:T1100,0),IF('路线'!C4=1,MATCH(D26,'第二属性比较'!T2:T1100,0),MATCH(E26,'第二属性比较'!T2:T1100,0))))))))),A11)</f>
      </c>
      <c r="E11" s="1" t="str"/>
      <c r="F11" s="1" t="str"/>
      <c r="G11" s="114">
        <f>IF('路线'!B3="感性",IF(AND(D11=A9,A10=A9),INDEX('第二属性比较'!A2:A1100,IF('路线'!B2="红",IF('路线'!C2=3,MATCH(J24,'第二属性比较'!U2:U1100,0),IF('路线'!C2=2,MATCH(D24,'第二属性比较'!L2:L1100,0),IF('路线'!C2=1,MATCH(E24,'第二属性比较'!L2:L1100,0),MATCH(F24,'第二属性比较'!L2:L1100,0)))),IF('路线'!B2="蓝",IF('路线'!C3=3,MATCH(J25,'第二属性比较'!V2:V1100,0),IF('路线'!C3=2,MATCH(D25,'第二属性比较'!O2:O1100,0),IF('路线'!C3=1,MATCH(E25,'第二属性比较'!O2:O1100,0),MATCH(F25,'第二属性比较'!O2:O1100,0)))),IF('路线'!C4=3,MATCH(J26,'第二属性比较'!W2:W1100,0),IF('路线'!C4=2,MATCH(D26,'第二属性比较'!R2:R1100,0),IF('路线'!C4=1,MATCH(E26,'第二属性比较'!R2:R1100,0),MATCH(F26,'第二属性比较'!R2:R1100,0))))))),IF(D11=A9,INDEX('第二属性比较'!A2:A1100,IF('路线'!B2="红",IF('路线'!C2=3,MATCH(J24,'第二属性比较'!U2:U1100,0),IF('路线'!C2=2,MATCH(C24,'第二属性比较'!L2:L1100,0),IF('路线'!C2=1,MATCH(D24,'第二属性比较'!L2:L1100,0),MATCH(E24,'第二属性比较'!L2:L1100,0)))),IF('路线'!B2="蓝",IF('路线'!C3=3,MATCH(J25,'第二属性比较'!V2:V1100,0),IF('路线'!C3=2,MATCH(C25,'第二属性比较'!O2:O1100,0),IF('路线'!C3=1,MATCH(D25,'第二属性比较'!O2:O1100,0),MATCH(E25,'第二属性比较'!O2:O1100,0)))),IF('路线'!C4=3,MATCH(J26,'第二属性比较'!W2:W1100,0),IF('路线'!C4=2,MATCH(C26,'第二属性比较'!R2:R1100,0),IF('路线'!C4=1,MATCH(D26,'第二属性比较'!R2:R1100,0),MATCH(E26,'第二属性比较'!R2:R1100,0))))))),D11)),IF('路线'!B3="理性",IF(AND(D11=A9,A10=A9),INDEX('第二属性比较'!A2:A1100,IF('路线'!B2="红",IF('路线'!C2=3,MATCH(J24,'第二属性比较'!X2:X1100,0),IF('路线'!C2=2,MATCH(D24,'第二属性比较'!M2:M1100,0),IF('路线'!C2=1,MATCH(E24,'第二属性比较'!M2:M1100,0),MATCH(F24,'第二属性比较'!M2:M1100,0)))),IF('路线'!B2="蓝",IF('路线'!C3=3,MATCH(J25,'第二属性比较'!Y2:Y1100,0),IF('路线'!C3=2,MATCH(D25,'第二属性比较'!P2:P1100,0),IF('路线'!C3=1,MATCH(E25,'第二属性比较'!P2:P1100,0),MATCH(F25,'第二属性比较'!P2:P1100,0)))),IF('路线'!C4=3,MATCH(J26,'第二属性比较'!Z2:Z1100,0),IF('路线'!C4=2,MATCH(D26,'第二属性比较'!S2:S1100,0),IF('路线'!C4=1,MATCH(E26,'第二属性比较'!S2:S1100,0),MATCH(F26,'第二属性比较'!S2:S1100,0))))))),IF(D11=A9,INDEX('第二属性比较'!A2:A1100,IF('路线'!B2="红",IF('路线'!C2=3,MATCH(J24,'第二属性比较'!X2:X1100,0),IF('路线'!C2=2,MATCH(C24,'第二属性比较'!M2:M1100,0),IF('路线'!C2=1,MATCH(D24,'第二属性比较'!M2:M1100,0),MATCH(E24,'第二属性比较'!M2:M1100,0)))),IF('路线'!B2="蓝",IF('路线'!C3=3,MATCH(J25,'第二属性比较'!Y2:Y1100,0),IF('路线'!C3=2,MATCH(C25,'第二属性比较'!P2:P1100,0),IF('路线'!C3=1,MATCH(D25,'第二属性比较'!P2:P1100,0),MATCH(E25,'第二属性比较'!P2:P1100,0)))),IF('路线'!C4=3,MATCH(J26,'第二属性比较'!Z2:Z1100,0),IF('路线'!C4=2,MATCH(C26,'第二属性比较'!S2:S1100,0),IF('路线'!C4=1,MATCH(D26,'第二属性比较'!S2:S1100,0),MATCH(E26,'第二属性比较'!S2:S1100,0))))))),D11)),IF(AND(D11=A9,A10=A9),INDEX('第二属性比较'!A2:A1100,IF('路线'!B2="红",IF('路线'!C2=3,MATCH(J24,'第二属性比较'!AA2:AA1100,0),IF('路线'!C2=2,MATCH(D24,'第二属性比较'!N2:N1100,0),IF('路线'!C2=1,MATCH(E24,'第二属性比较'!N2:N1100,0),MATCH(F24,'第二属性比较'!N2:N1100,0)))),IF('路线'!B2="蓝",IF('路线'!C3=3,MATCH(J25,'第二属性比较'!AB2:AB1100,0),IF('路线'!C3=2,MATCH(D25,'第二属性比较'!Q2:Q1100,0),IF('路线'!C3=1,MATCH(E25,'第二属性比较'!Q2:Q1100,0),MATCH(F25,'第二属性比较'!Q2:Q1100,0)))),IF('路线'!C4=3,MATCH(J26,'第二属性比较'!AC2:AC1100,0),IF('路线'!C4=2,MATCH(D26,'第二属性比较'!T2:T1100,0),IF('路线'!C4=1,MATCH(E26,'第二属性比较'!T2:T1100,0),MATCH(F26,'第二属性比较'!T2:T1100,0))))))),IF(D11=A9,INDEX('第二属性比较'!A2:A1100,IF('路线'!B2="红",IF('路线'!C2=3,MATCH(J24,'第二属性比较'!AA2:AA1100,0),IF('路线'!C2=2,MATCH(C24,'第二属性比较'!N2:N1100,0),IF('路线'!C2=1,MATCH(D24,'第二属性比较'!N2:N1100,0),MATCH(E24,'第二属性比较'!N2:N1100,0)))),IF('路线'!B2="蓝",IF('路线'!C3=3,MATCH(J25,'第二属性比较'!AB2:AB1100,0),IF('路线'!C3=2,MATCH(C25,'第二属性比较'!Q2:Q1100,0),IF('路线'!C3=1,MATCH(D25,'第二属性比较'!Q2:Q1100,0),MATCH(E25,'第二属性比较'!Q2:Q1100,0)))),IF('路线'!C4=3,MATCH(J26,'第二属性比较'!AC2:AC1100,0),IF('路线'!C4=2,MATCH(C26,'第二属性比较'!T2:T1100,0),IF('路线'!C4=1,MATCH(D26,'第二属性比较'!T2:T1100,0),MATCH(E26,'第二属性比较'!T2:T1100,0))))))),D11))))</f>
      </c>
      <c r="H11" s="3"/>
      <c r="I11" s="3"/>
      <c r="J11" s="3">
        <f>IF(G11=D10,IF('路线'!B3="感性",INDEX('第二属性比较'!A2:A1100,IF('路线'!B2="红",IF('路线'!C2=3,MATCH(J24,'第二属性比较'!U2:U1100,0),IF('路线'!C2=2,MATCH(D24,'第二属性比较'!L2:L1100,0),IF('路线'!C2=1,MATCH(E24,'第二属性比较'!L2:L1100,0),MATCH(F24,'第二属性比较'!L2:L1100,0)))),IF('路线'!B2="蓝",IF('路线'!C3=3,MATCH(J25,'第二属性比较'!V2:V1100,0),IF('路线'!C3=2,MATCH(D25,'第二属性比较'!O2:O1100,0),IF('路线'!C3=1,MATCH(E25,'第二属性比较'!O2:O1100,0),MATCH(F25,'第二属性比较'!O2:O1100,0)))),IF('路线'!C4=3,MATCH(J26,'第二属性比较'!W2:W1100,0),IF('路线'!C4=2,MATCH(D26,'第二属性比较'!R2:R1100,0),IF('路线'!C4=1,MATCH(E26,'第二属性比较'!R2:R1100,0),MATCH(F26,'第二属性比较'!R2:R1100,0))))))),IF('路线'!B3="理性",INDEX('第二属性比较'!A2:A1100,IF('路线'!B2="红",IF('路线'!C2=3,MATCH(J24,'第二属性比较'!X2:X1100,0),IF('路线'!C2=2,MATCH(D24,'第二属性比较'!M2:M1100,0),IF('路线'!C2=1,MATCH(E24,'第二属性比较'!M2:M1100,0),MATCH(F24,'第二属性比较'!M2:M1100,0)))),IF('路线'!B2="蓝",IF('路线'!C3=3,MATCH(J25,'第二属性比较'!Y2:Y1100,0),IF('路线'!C3=2,MATCH(D25,'第二属性比较'!P2:P1100,0),IF('路线'!C3=1,MATCH(E25,'第二属性比较'!P2:P1100,0),MATCH(F25,'第二属性比较'!P2:P1100,0)))),IF('路线'!C4=3,MATCH(J26,'第二属性比较'!Z2:Z1100,0),IF('路线'!C4=2,MATCH(D26,'第二属性比较'!S2:S1100,0),IF('路线'!C4=1,MATCH(E26,'第二属性比较'!S2:S1100,0),MATCH(F26,'第二属性比较'!S2:S1100,0))))))),INDEX('第二属性比较'!A2:A1100,IF('路线'!B2="红",IF('路线'!C2=3,MATCH(J24,'第二属性比较'!AA2:AA1100,0),IF('路线'!C2=2,MATCH(D24,'第二属性比较'!N2:N1100,0),IF('路线'!C2=1,MATCH(E24,'第二属性比较'!N2:N1100,0),MATCH(F24,'第二属性比较'!N2:N1100,0)))),IF('路线'!B2="蓝",IF('路线'!C3=3,MATCH(J25,'第二属性比较'!AB2:AB1100,0),IF('路线'!C3=2,MATCH(D25,'第二属性比较'!Q2:Q1100,0),IF('路线'!C3=1,MATCH(E25,'第二属性比较'!Q2:Q1100,0),MATCH(F25,'第二属性比较'!Q2:Q1100,0)))),IF('路线'!C4=3,MATCH(J26,'第二属性比较'!AC2:AC1100,0),IF('路线'!C4=2,MATCH(D26,'第二属性比较'!T2:T1100,0),IF('路线'!C4=1,MATCH(E26,'第二属性比较'!T2:T1100,0),MATCH(F26,'第二属性比较'!T2:T1100,0))))))))),G11)</f>
      </c>
      <c r="K11" s="1" t="str"/>
      <c r="L11" s="1" t="str"/>
      <c r="M11" s="3"/>
      <c r="N11" s="3"/>
      <c r="O11" s="3"/>
      <c r="P11" s="3"/>
      <c r="Q11" s="1" t="str"/>
      <c r="R11" s="1" t="str"/>
      <c r="S11" s="1" t="str"/>
      <c r="T11" s="1" t="str"/>
      <c r="U11" s="1" t="str"/>
    </row>
    <row customHeight="true" ht="19" r="12">
      <c r="A12" s="111">
        <f>IF('路线'!B3="感性",INDEX('第二属性比较'!A2:A1100,IF('路线'!B2="红",IF('路线'!C2=3,MATCH(B24,'第二属性比较'!L2:L1100,0),IF('路线'!C2=2,MATCH(C24,'第二属性比较'!L2:L1100,0),IF('路线'!C2=1,MATCH(D24,'第二属性比较'!L2:L1100,0),MATCH(E24,'第二属性比较'!L2:L1100,0)))),IF('路线'!B2="蓝",IF('路线'!C3=3,MATCH(B25,'第二属性比较'!O2:O1100,0),IF('路线'!C3=2,MATCH(C25,'第二属性比较'!O2:O1100,0),IF('路线'!C3=1,MATCH(D25,'第二属性比较'!O2:O1100,0),MATCH(E25,'第二属性比较'!O2:O1100,0)))),IF('路线'!C4=3,MATCH(B26,'第二属性比较'!R2:R1100,0),IF('路线'!C4=2,MATCH(C26,'第二属性比较'!R2:R1100,0),IF('路线'!C4=1,MATCH(D26,'第二属性比较'!R2:R1100,0),MATCH(E26,'第二属性比较'!R2:R1100,0))))))),IF('路线'!B3="理性",INDEX('第二属性比较'!A2:A1100,IF('路线'!B2="红",IF('路线'!C2=3,MATCH(B24,'第二属性比较'!M2:M1100,0),IF('路线'!C2=2,MATCH(C24,'第二属性比较'!M2:M1100,0),IF('路线'!C2=1,MATCH(D24,'第二属性比较'!M2:M1100,0),MATCH(E24,'第二属性比较'!M2:M1100,0)))),IF('路线'!B2="蓝",IF('路线'!C3=3,MATCH(B25,'第二属性比较'!P2:P1100,0),IF('路线'!C3=2,MATCH(C25,'第二属性比较'!P2:P1100,0),IF('路线'!C3=1,MATCH(D25,'第二属性比较'!P2:P1100,0),MATCH(E25,'第二属性比较'!P2:P1100,0)))),IF('路线'!C4=3,MATCH(B26,'第二属性比较'!S2:S1100,0),IF('路线'!C4=2,MATCH(C26,'第二属性比较'!S2:S1100,0),IF('路线'!C4=1,MATCH(D26,'第二属性比较'!S2:S1100,0),MATCH(E26,'第二属性比较'!S2:S1100,0))))))),INDEX('第二属性比较'!A2:A1100,IF('路线'!B2="红",IF('路线'!C2=3,MATCH(B24,'第二属性比较'!N2:N1100,0),IF('路线'!C2=2,MATCH(C24,'第二属性比较'!N2:N1100,0),IF('路线'!C2=1,MATCH(D24,'第二属性比较'!N2:N1100,0),MATCH(E24,'第二属性比较'!N2:N1100,0)))),IF('路线'!B2="蓝",IF('路线'!C3=3,MATCH(B25,'第二属性比较'!Q2:Q1100,0),IF('路线'!C3=2,MATCH(C25,'第二属性比较'!Q2:Q1100,0),IF('路线'!C3=1,MATCH(D25,'第二属性比较'!Q2:Q1100,0),MATCH(E25,'第二属性比较'!Q2:Q1100,0)))),IF('路线'!C4=3,MATCH(B26,'第二属性比较'!T2:T1100,0),IF('路线'!C4=2,MATCH(C26,'第二属性比较'!T2:T1100,0),IF('路线'!C4=1,MATCH(D26,'第二属性比较'!T2:T1100,0),MATCH(E26,'第二属性比较'!T2:T1100,0)))))))))</f>
      </c>
      <c r="B12" s="1" t="str"/>
      <c r="C12" s="1" t="str"/>
      <c r="D12" s="111">
        <f>IF(A12=G11,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A12)</f>
      </c>
      <c r="E12" s="1" t="str"/>
      <c r="F12" s="1" t="str"/>
      <c r="G12" s="114">
        <f>IF(AND(A12=G11,D12=D10),IF('路线'!B3="感性",INDEX('第二属性比较'!A2:A1100,IF('路线'!B2="红",IF('路线'!C2=3,MATCH(D24,'第二属性比较'!L2:L1100,0),IF('路线'!C2=2,MATCH(E24,'第二属性比较'!L2:L1100,0),IF('路线'!C2=1,MATCH(F24,'第二属性比较'!L2:L1100,0),MATCH(G24,'第二属性比较'!L2:L1100,0)))),IF('路线'!B2="蓝",IF('路线'!C3=3,MATCH(D25,'第二属性比较'!O2:O1100,0),IF('路线'!C3=2,MATCH(E25,'第二属性比较'!O2:O1100,0),IF('路线'!C3=1,MATCH(F25,'第二属性比较'!O2:O1100,0),MATCH(G25,'第二属性比较'!O2:O1100,0)))),IF('路线'!C4=3,MATCH(D26,'第二属性比较'!R2:R1100,0),IF('路线'!C4=2,MATCH(E26,'第二属性比较'!R2:R1100,0),IF('路线'!C4=1,MATCH(F26,'第二属性比较'!R2:R1100,0),MATCH(G26,'第二属性比较'!R2:R1100,0))))))),IF('路线'!B3="理性",INDEX('第二属性比较'!A2:A1100,IF('路线'!B2="红",IF('路线'!C2=3,MATCH(D24,'第二属性比较'!M2:M1100,0),IF('路线'!C2=2,MATCH(E24,'第二属性比较'!M2:M1100,0),IF('路线'!C2=1,MATCH(F24,'第二属性比较'!M2:M1100,0),MATCH(G24,'第二属性比较'!M2:M1100,0)))),IF('路线'!B2="蓝",IF('路线'!C3=3,MATCH(D25,'第二属性比较'!P2:P1100,0),IF('路线'!C3=2,MATCH(E25,'第二属性比较'!P2:P1100,0),IF('路线'!C3=1,MATCH(F25,'第二属性比较'!P2:P1100,0),MATCH(G25,'第二属性比较'!P2:P1100,0)))),IF('路线'!C4=3,MATCH(D26,'第二属性比较'!S2:S1100,0),IF('路线'!C4=2,MATCH(E26,'第二属性比较'!S2:S1100,0),IF('路线'!C4=1,MATCH(F26,'第二属性比较'!S2:S1100,0),MATCH(G26,'第二属性比较'!S2:S1100,0))))))),INDEX('第二属性比较'!A2:A1100,IF('路线'!B2="红",IF('路线'!C2=3,MATCH(D24,'第二属性比较'!N2:N1100,0),IF('路线'!C2=2,MATCH(E24,'第二属性比较'!N2:N1100,0),IF('路线'!C2=1,MATCH(F24,'第二属性比较'!N2:N1100,0),MATCH(G24,'第二属性比较'!N2:N1100,0)))),IF('路线'!B2="蓝",IF('路线'!C3=3,MATCH(D25,'第二属性比较'!Q2:Q1100,0),IF('路线'!C3=2,MATCH(E25,'第二属性比较'!Q2:Q1100,0),IF('路线'!C3=1,MATCH(F25,'第二属性比较'!Q2:Q1100,0),MATCH(G25,'第二属性比较'!Q2:Q1100,0)))),IF('路线'!C4=3,MATCH(D26,'第二属性比较'!T2:T1100,0),IF('路线'!C4=2,MATCH(E26,'第二属性比较'!T2:T1100,0),IF('路线'!C4=1,MATCH(F26,'第二属性比较'!T2:T1100,0),MATCH(G26,'第二属性比较'!T2:T1100,0))))))))),IF(D12=D10,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D12))</f>
      </c>
      <c r="H12" s="3"/>
      <c r="I12" s="3"/>
      <c r="J12" s="114">
        <f>IF(J14&lt;&gt;0,J14,IF(J15&lt;&gt;0,J15,IF(J16&lt;&gt;0,J16,G12)))</f>
      </c>
      <c r="K12" s="1" t="str"/>
      <c r="L12" s="1" t="str"/>
      <c r="M12" s="114" t="str">
        <v>SP借2</v>
      </c>
      <c r="N12" s="3"/>
      <c r="O12" s="3"/>
      <c r="P12" s="114" t="str">
        <v>非SP借2</v>
      </c>
      <c r="Q12" s="1" t="str"/>
      <c r="R12" s="1" t="str"/>
      <c r="S12" s="1" t="str"/>
      <c r="T12" s="1" t="str"/>
      <c r="U12" s="1" t="str"/>
    </row>
    <row customHeight="true" ht="19" r="13">
      <c r="A13" s="111" t="str">
        <v>第三属性</v>
      </c>
      <c r="B13" s="1" t="str"/>
      <c r="C13" s="1" t="str"/>
      <c r="D13" s="1" t="str"/>
      <c r="E13" s="111" t="str">
        <v>借卡</v>
      </c>
      <c r="F13" s="1" t="str"/>
      <c r="G13" s="1" t="str"/>
      <c r="H13" s="1" t="str"/>
      <c r="I13" s="1" t="str"/>
      <c r="J13" s="1" t="str"/>
      <c r="K13" s="1" t="str"/>
      <c r="L13" s="1" t="str"/>
      <c r="M13" s="114">
        <f>IF('路线'!B2="红",IF('路线'!C2=0,P13,INDEX('第二属性比较'!A2:A1100,IF('路线'!B3="感性",MATCH(R24,'第二属性比较'!AG2:AG1100,0),IF('路线'!B3="理性",MATCH(R24,'第二属性比较'!AM2:AM1100,0),MATCH(R24,'第二属性比较'!AS2:AS1100,0))))),IF('路线'!B2="蓝",IF('路线'!C3=0,P13,INDEX('第二属性比较'!A2:A1100,IF('路线'!B3="感性",MATCH(R25,'第二属性比较'!AH2:AH1100,0),IF('路线'!B3="理性",MATCH(R25,'第二属性比较'!AN2:AN1100,0),MATCH(R25,'第二属性比较'!AT2:AT1100,0))))),IF('路线'!C4=0,P13,INDEX('第二属性比较'!A2:A1100,IF('路线'!B3="感性",MATCH(R26,'第二属性比较'!AI2:AI1100,0),IF('路线'!B3="理性",MATCH(R26,'第二属性比较'!AO2:AO1100,0),MATCH(R26,'第二属性比较'!AU2:AU1100,0)))))))</f>
      </c>
      <c r="N13" s="3"/>
      <c r="O13" s="3"/>
      <c r="P13" s="114">
        <f>IF('路线'!B3="感性",INDEX('第二属性比较'!A2:A1100,IF('路线'!B2="红",MATCH(M24,'第二属性比较'!AD2:AD1100,0),IF('路线'!B2="蓝",MATCH(M25,'第二属性比较'!AE2:AE1100,0),MATCH(M26,'第二属性比较'!AF2:AF1100,0)))),IF('路线'!B3="理性",INDEX('第二属性比较'!A2:A1100,IF('路线'!B2="红",MATCH(M24,'第二属性比较'!AJ2:AJ1100,0),IF('路线'!B2="蓝",MATCH(M25,'第二属性比较'!AK2:AK1100,0),MATCH(M26,'第二属性比较'!AL2:AL1100,0)))),INDEX('第二属性比较'!A2:A1100,IF('路线'!B2="红",MATCH(M24,'第二属性比较'!AP2:AP1100,0),IF('路线'!B2="蓝",MATCH(M25,'第二属性比较'!AQ2:AQ1100,0),MATCH(M26,'第二属性比较'!AR2:AR1100,0))))))</f>
      </c>
      <c r="Q13" s="1" t="str"/>
      <c r="R13" s="1" t="str"/>
      <c r="S13" s="1" t="str"/>
      <c r="T13" s="1" t="str"/>
      <c r="U13" s="1" t="str"/>
    </row>
    <row customHeight="true" ht="19" r="14">
      <c r="A14" s="111" t="str">
        <v>红</v>
      </c>
      <c r="B14" s="111">
        <f>IF('路线'!B3="感性",LARGE('第三属性比较'!L2:L999,1),IF('路线'!B3="理性",LARGE('第三属性比较'!M2:M999,1),LARGE('第三属性比较'!N2:N999,1)))</f>
      </c>
      <c r="C14" s="111">
        <f>IF('路线'!B3="感性",LARGE('第三属性比较'!L2:L999,2),IF('路线'!B3="理性",LARGE('第三属性比较'!M2:M999,2),LARGE('第三属性比较'!N2:N999,2)))</f>
      </c>
      <c r="D14" s="1" t="str"/>
      <c r="E14" s="111">
        <f>IF('路线'!B3="感性",LARGE('第三属性比较'!AD2:AD999,1),IF('路线'!B3="理性",LARGE('第三属性比较'!AJ2:AJ999,1),LARGE('第三属性比较'!AP2:AP999,1)))</f>
      </c>
      <c r="F14" s="111">
        <f>IF('路线'!B3="感性",LARGE('第三属性比较'!AD2:AD999,2),IF('路线'!B3="理性",LARGE('第三属性比较'!AJ2:AJ999,2),LARGE('第三属性比较'!AP2:AP999,2)))</f>
      </c>
      <c r="G14" s="111">
        <f>IF('路线'!B3="感性",LARGE('第三属性比较'!AD2:AD999,3),IF('路线'!B3="理性",LARGE('第三属性比较'!AJ2:AJ999,3),LARGE('第三属性比较'!AP2:AP999,3)))</f>
      </c>
      <c r="H14" s="1" t="str"/>
      <c r="I14" s="1" t="str"/>
      <c r="J14" s="114">
        <f>IF(AND(A12=G11,D12=D10,G12=A9),IF('路线'!B3="感性",INDEX('第二属性比较'!A2:A1100,IF('路线'!B2="红",IF('路线'!C2=3,MATCH(E24,'第二属性比较'!L2:L1100,0),IF('路线'!C2=2,MATCH(F24,'第二属性比较'!L2:L1100,0),IF('路线'!C2=1,MATCH(G24,'第二属性比较'!L2:L1100,0),MATCH(G28,'第二属性比较'!L2:L1100,0)))),IF('路线'!B2="蓝",IF('路线'!C3=3,MATCH(E25,'第二属性比较'!O2:O1100,0),IF('路线'!C3=2,MATCH(F25,'第二属性比较'!O2:O1100,0),IF('路线'!C3=1,MATCH(G25,'第二属性比较'!O2:O1100,0),MATCH(G29,'第二属性比较'!O2:O1100,0)))),IF('路线'!C4=3,MATCH(E26,'第二属性比较'!R2:R1100,0),IF('路线'!C4=2,MATCH(F26,'第二属性比较'!R2:R1100,0),IF('路线'!C4=1,MATCH(G26,'第二属性比较'!R2:R1100,0),MATCH(G30,'第二属性比较'!R2:R1100,0))))))),IF('路线'!B3="理性",INDEX('第二属性比较'!A2:A1100,IF('路线'!B2="红",IF('路线'!C2=3,MATCH(E24,'第二属性比较'!M2:M1100,0),IF('路线'!C2=2,MATCH(F24,'第二属性比较'!M2:M1100,0),IF('路线'!C2=1,MATCH(G24,'第二属性比较'!M2:M1100,0),MATCH(G28,'第二属性比较'!M2:M1100,0)))),IF('路线'!B2="蓝",IF('路线'!C3=3,MATCH(E25,'第二属性比较'!P2:P1100,0),IF('路线'!C3=2,MATCH(F25,'第二属性比较'!P2:P1100,0),IF('路线'!C3=1,MATCH(G25,'第二属性比较'!P2:P1100,0),MATCH(G29,'第二属性比较'!P2:P1100,0)))),IF('路线'!C4=3,MATCH(E26,'第二属性比较'!S2:S1100,0),IF('路线'!C4=2,MATCH(F26,'第二属性比较'!S2:S1100,0),IF('路线'!C4=1,MATCH(G26,'第二属性比较'!S2:S1100,0),MATCH(G30,'第二属性比较'!S2:S1100,0))))))),INDEX('第二属性比较'!A2:A1100,IF('路线'!B2="红",IF('路线'!C2=3,MATCH(E24,'第二属性比较'!N2:N1100,0),IF('路线'!C2=2,MATCH(F24,'第二属性比较'!N2:N1100,0),IF('路线'!C2=1,MATCH(G24,'第二属性比较'!N2:N1100,0),MATCH(G28,'第二属性比较'!N2:N1100,0)))),IF('路线'!B2="蓝",IF('路线'!C3=3,MATCH(E25,'第二属性比较'!Q2:Q1100,0),IF('路线'!C3=2,MATCH(F25,'第二属性比较'!Q2:Q1100,0),IF('路线'!C3=1,MATCH(G29,'第二属性比较'!Q2:Q1100,0),MATCH(G25,'第二属性比较'!Q2:Q1100,0)))),IF('路线'!C4=3,MATCH(E26,'第二属性比较'!T2:T1100,0),IF('路线'!C4=2,MATCH(F26,'第二属性比较'!T2:T1100,0),IF('路线'!C4=1,MATCH(G26,'第二属性比较'!T2:T1100,0),MATCH(G30,'第二属性比较'!T2:T1100,0))))))))),0)</f>
      </c>
      <c r="K14" s="1" t="str"/>
      <c r="L14" s="1" t="str"/>
      <c r="M14" s="114">
        <f>IF(M13=A9,IF('路线'!B2="红",IF('路线'!C2=0,P14,INDEX('第二属性比较'!A2:A1100,IF('路线'!B3="感性",MATCH(S24,'第二属性比较'!AG2:AG1100,0),IF('路线'!B3="理性",MATCH(S24,'第二属性比较'!AM2:AM1100,0),MATCH(S24,'第二属性比较'!AS2:AS1100,0))))),IF('路线'!B2="蓝",IF('路线'!C3=0,P14,INDEX('第二属性比较'!A2:A1100,IF('路线'!B3="感性",MATCH(S25,'第二属性比较'!AH2:AH1100,0),IF('路线'!B3="理性",MATCH(S25,'第二属性比较'!AN2:AN1100,0),MATCH(S25,'第二属性比较'!AT2:AT1100,0))))),IF('路线'!C4=0,P14,INDEX('第二属性比较'!A2:A1100,IF('路线'!B3="感性",MATCH(S26,'第二属性比较'!AI2:AI1100,0),IF('路线'!B3="理性",MATCH(S26,'第二属性比较'!AO2:AO1100,0),MATCH(S26,'第二属性比较'!AU2:AU1100,0))))))),M13)</f>
      </c>
      <c r="N14" s="3"/>
      <c r="O14" s="3"/>
      <c r="P14" s="114">
        <f>IF(P13=A9,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13)</f>
      </c>
      <c r="Q14" s="1" t="str"/>
      <c r="R14" s="1" t="str"/>
      <c r="S14" s="1" t="str"/>
      <c r="T14" s="1" t="str"/>
      <c r="U14" s="1" t="str"/>
    </row>
    <row customHeight="true" ht="19" r="15">
      <c r="A15" s="111" t="str">
        <v>蓝</v>
      </c>
      <c r="B15" s="111">
        <f>IF('路线'!B3="感性",LARGE('第三属性比较'!O2:O999,1),IF('路线'!B3="理性",LARGE('第三属性比较'!P2:P999,1),LARGE('第三属性比较'!Q2:Q999,1)))</f>
      </c>
      <c r="C15" s="111">
        <f>IF('路线'!B3="感性",LARGE('第三属性比较'!O2:O999,2),IF('路线'!B3="理性",LARGE('第三属性比较'!P2:P999,2),LARGE('第三属性比较'!Q2:Q999,2)))</f>
      </c>
      <c r="D15" s="1" t="str"/>
      <c r="E15" s="111">
        <f>IF('路线'!B3="感性",LARGE('第三属性比较'!AE2:AE999,1),IF('路线'!B3="理性",LARGE('第三属性比较'!AK2:AK999,1),LARGE('第三属性比较'!AQ2:AQ999,1)))</f>
      </c>
      <c r="F15" s="111">
        <f>IF('路线'!B3="感性",LARGE('第三属性比较'!AE2:AE999,2),IF('路线'!B3="理性",LARGE('第三属性比较'!AK2:AK999,2),LARGE('第三属性比较'!AQ2:AQ999,2)))</f>
      </c>
      <c r="G15" s="111">
        <f>IF('路线'!B3="感性",LARGE('第三属性比较'!AE2:AE999,3),IF('路线'!B3="理性",LARGE('第三属性比较'!AK2:AK999,3),LARGE('第三属性比较'!AQ2:AQ999,3)))</f>
      </c>
      <c r="H15" s="1" t="str"/>
      <c r="I15" s="1" t="str"/>
      <c r="J15" s="114">
        <f>IF(OR(AND(A12=G11,G12=A9),AND(D12=D10,G12=A9)),IF('路线'!B3="感性",INDEX('第二属性比较'!A2:A1100,IF('路线'!B2="红",IF('路线'!C2=3,MATCH(D24,'第二属性比较'!L2:L1100,0),IF('路线'!C2=2,MATCH(E24,'第二属性比较'!L2:L1100,0),IF('路线'!C2=1,MATCH(F24,'第二属性比较'!L2:L1100,0),MATCH(G24,'第二属性比较'!L2:L1100,0)))),IF('路线'!B2="蓝",IF('路线'!C3=3,MATCH(D25,'第二属性比较'!O2:O1100,0),IF('路线'!C3=2,MATCH(E25,'第二属性比较'!O2:O1100,0),IF('路线'!C3=1,MATCH(F25,'第二属性比较'!O2:O1100,0),MATCH(G25,'第二属性比较'!O2:O1100,0)))),IF('路线'!C4=3,MATCH(D26,'第二属性比较'!R2:R1100,0),IF('路线'!C4=2,MATCH(E26,'第二属性比较'!R2:R1100,0),IF('路线'!C4=1,MATCH(F26,'第二属性比较'!R2:R1100,0),MATCH(G26,'第二属性比较'!R2:R1100,0))))))),IF('路线'!B3="理性",INDEX('第二属性比较'!A2:A1100,IF('路线'!B2="红",IF('路线'!C2=3,MATCH(D24,'第二属性比较'!M2:M1100,0),IF('路线'!C2=2,MATCH(E24,'第二属性比较'!M2:M1100,0),IF('路线'!C2=1,MATCH(F24,'第二属性比较'!M2:M1100,0),MATCH(G24,'第二属性比较'!M2:M1100,0)))),IF('路线'!B2="蓝",IF('路线'!C3=3,MATCH(D25,'第二属性比较'!P2:P1100,0),IF('路线'!C3=2,MATCH(E25,'第二属性比较'!P2:P1100,0),IF('路线'!C3=1,MATCH(F25,'第二属性比较'!P2:P1100,0),MATCH(G25,'第二属性比较'!P2:P1100,0)))),IF('路线'!C4=3,MATCH(D26,'第二属性比较'!S2:S1100,0),IF('路线'!C4=2,MATCH(E26,'第二属性比较'!S2:S1100,0),IF('路线'!C4=1,MATCH(F26,'第二属性比较'!S2:S1100,0),MATCH(G26,'第二属性比较'!S2:S1100,0))))))),INDEX('第二属性比较'!A2:A1100,IF('路线'!B2="红",IF('路线'!C2=3,MATCH(D24,'第二属性比较'!N2:N1100,0),IF('路线'!C2=2,MATCH(E24,'第二属性比较'!N2:N1100,0),IF('路线'!C2=1,MATCH(F24,'第二属性比较'!N2:N1100,0),MATCH(G24,'第二属性比较'!N2:N1100,0)))),IF('路线'!B2="蓝",IF('路线'!C3=3,MATCH(D25,'第二属性比较'!Q2:Q1100,0),IF('路线'!C3=2,MATCH(E25,'第二属性比较'!Q2:Q1100,0),IF('路线'!C3=1,MATCH(F25,'第二属性比较'!Q2:Q1100,0),MATCH(G25,'第二属性比较'!Q2:Q1100,0)))),IF('路线'!C4=3,MATCH(D26,'第二属性比较'!T2:T1100,0),IF('路线'!C4=2,MATCH(E26,'第二属性比较'!T2:T1100,0),IF('路线'!C4=1,MATCH(F26,'第二属性比较'!T2:T1100,0),MATCH(G26,'第二属性比较'!T2:T1100,0))))))))),0)</f>
      </c>
      <c r="K15" s="1" t="str"/>
      <c r="L15" s="1" t="str"/>
      <c r="M15" s="114">
        <f>IF(AND(M14=D10,M13=A9),IF('路线'!B2="红",IF('路线'!C2=0,P15,INDEX('第二属性比较'!A2:A1100,IF('路线'!B3="感性",MATCH(T24,'第二属性比较'!AG2:AG1100,0),IF('路线'!B3="理性",MATCH(T24,'第二属性比较'!AM2:AM1100,0),MATCH(T24,'第二属性比较'!AS2:AS1100,0))))),IF('路线'!B2="蓝",IF('路线'!C3=0,P15,INDEX('第二属性比较'!A2:A1100,IF('路线'!B3="感性",MATCH(T25,'第二属性比较'!AH2:AH1100,0),IF('路线'!B3="理性",MATCH(T25,'第二属性比较'!AN2:AN1100,0),MATCH(T25,'第二属性比较'!AT2:AT1100,0))))),IF('路线'!C4=0,P15,INDEX('第二属性比较'!A2:A1100,IF('路线'!B3="感性",MATCH(T26,'第二属性比较'!AI2:AI1100,0),IF('路线'!B3="理性",MATCH(T26,'第二属性比较'!AO2:AO1100,0),MATCH(T26,'第二属性比较'!AU2:AU1100,0))))))),IF(M14=D10,IF('路线'!B2="红",IF('路线'!C2=0,P15,INDEX('第二属性比较'!A2:A1100,IF('路线'!B3="感性",MATCH(S24,'第二属性比较'!AG2:AG1100,0),IF('路线'!B3="理性",MATCH(S24,'第二属性比较'!AM2:AM1100,0),MATCH(S24,'第二属性比较'!AS2:AS1100,0))))),IF('路线'!B2="蓝",IF('路线'!C3=0,P15,INDEX('第二属性比较'!A2:A1100,IF('路线'!B3="感性",MATCH(S25,'第二属性比较'!AH2:AH1100,0),IF('路线'!B3="理性",MATCH(S25,'第二属性比较'!AN2:AN1100,0),MATCH(S25,'第二属性比较'!AT2:AT1100,0))))),IF('路线'!C4=0,P15,INDEX('第二属性比较'!A2:A1100,IF('路线'!B3="感性",MATCH(S26,'第二属性比较'!AI2:AI1100,0),IF('路线'!B3="理性",MATCH(S26,'第二属性比较'!AO2:AO1100,0),MATCH(S26,'第二属性比较'!AU2:AU1100,0))))))),M14))</f>
      </c>
      <c r="N15" s="3"/>
      <c r="O15" s="3"/>
      <c r="P15" s="114">
        <f>IF(AND(P13=A9,P14=D10),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14=D10,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14))</f>
      </c>
      <c r="Q15" s="1" t="str"/>
      <c r="R15" s="1" t="str"/>
      <c r="S15" s="1" t="str"/>
      <c r="T15" s="1" t="str"/>
      <c r="U15" s="1" t="str"/>
    </row>
    <row customHeight="true" ht="19" r="16">
      <c r="A16" s="111" t="str">
        <v>黄</v>
      </c>
      <c r="B16" s="111">
        <f>IF('路线'!B3="感性",LARGE('第三属性比较'!R2:R999,1),IF('路线'!B3="理性",LARGE('第三属性比较'!S2:S999,1),LARGE('第三属性比较'!T2:T999,1)))</f>
      </c>
      <c r="C16" s="111">
        <f>IF('路线'!B3="感性",LARGE('第三属性比较'!R2:R999,2),IF('路线'!B3="理性",LARGE('第三属性比较'!S2:S999,2),LARGE('第三属性比较'!T2:T999,2)))</f>
      </c>
      <c r="D16" s="1" t="str"/>
      <c r="E16" s="111">
        <f>IF('路线'!B3="感性",LARGE('第三属性比较'!AF2:AF999,1),IF('路线'!B3="理性",LARGE('第三属性比较'!AL2:AL999,1),LARGE('第三属性比较'!AR2:AR999,1)))</f>
      </c>
      <c r="F16" s="111">
        <f>IF('路线'!B3="感性",LARGE('第三属性比较'!AF2:AF999,2),IF('路线'!B3="理性",LARGE('第三属性比较'!AL2:AL999,2),LARGE('第三属性比较'!AR2:AR999,2)))</f>
      </c>
      <c r="G16" s="111">
        <f>IF('路线'!B3="感性",LARGE('第三属性比较'!AF2:AF999,3),IF('路线'!B3="理性",LARGE('第三属性比较'!AL2:AL999,3),LARGE('第三属性比较'!AR2:AR999,3)))</f>
      </c>
      <c r="H16" s="1" t="str"/>
      <c r="I16" s="1" t="str"/>
      <c r="J16" s="114">
        <f>IF(G12=A9,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0)</f>
      </c>
      <c r="K16" s="1" t="str"/>
      <c r="L16" s="1" t="str"/>
      <c r="M16" s="114">
        <f>IF(AND(M15=J11,M14=D10,M13=A9),IF('路线'!B2="红",IF('路线'!C2=0,P16,INDEX('第二属性比较'!A2:A1100,IF('路线'!B3="感性",MATCH(U24,'第二属性比较'!AG2:AG1100,0),IF('路线'!B3="理性",MATCH(U24,'第二属性比较'!AM2:AM1100,0),MATCH(U24,'第二属性比较'!AS2:AS1100,0))))),IF('路线'!B2="蓝",IF('路线'!C3=0,P16,INDEX('第二属性比较'!A2:A1100,IF('路线'!B3="感性",MATCH(U25,'第二属性比较'!AH2:AH1100,0),IF('路线'!B3="理性",MATCH(U25,'第二属性比较'!AN2:AN1100,0),MATCH(U25,'第二属性比较'!AT2:AT1100,0))))),IF('路线'!C4=0,P16,INDEX('第二属性比较'!A2:A1100,IF('路线'!B3="感性",MATCH(U26,'第二属性比较'!AI2:AI1100,0),IF('路线'!B3="理性",MATCH(U26,'第二属性比较'!AO2:AO1100,0),MATCH(U26,'第二属性比较'!AU2:AU1100,0))))))),IF(OR(AND(M15=J11,M14=D10),AND(M15=J11,M13=A9)),IF('路线'!B2="红",IF('路线'!C2=0,P16,INDEX('第二属性比较'!A2:A1100,IF('路线'!B3="感性",MATCH(T24,'第二属性比较'!AG2:AG1100,0),IF('路线'!B3="理性",MATCH(T24,'第二属性比较'!AM2:AM1100,0),MATCH(T24,'第二属性比较'!AS2:AS1100,0))))),IF('路线'!B2="蓝",IF('路线'!C3=0,P16,INDEX('第二属性比较'!A2:A1100,IF('路线'!B3="感性",MATCH(T25,'第二属性比较'!AH2:AH1100,0),IF('路线'!B3="理性",MATCH(T25,'第二属性比较'!AN2:AN1100,0),MATCH(T25,'第二属性比较'!AT2:AT1100,0))))),IF('路线'!C4=0,P16,INDEX('第二属性比较'!A2:A1100,IF('路线'!B3="感性",MATCH(T26,'第二属性比较'!AI2:AI1100,0),IF('路线'!B3="理性",MATCH(T26,'第二属性比较'!AO2:AO1100,0),MATCH(T26,'第二属性比较'!AU2:AU1100,0))))))),IF(M15=J11,IF('路线'!B2="红",IF('路线'!C2=0,P16,INDEX('第二属性比较'!A2:A1100,IF('路线'!B3="感性",MATCH(S24,'第二属性比较'!AG2:AG1100,0),IF('路线'!B3="理性",MATCH(S24,'第二属性比较'!AM2:AM1100,0),MATCH(S24,'第二属性比较'!AS2:AS1100,0))))),IF('路线'!B2="蓝",IF('路线'!C3=0,P16,INDEX('第二属性比较'!A2:A1100,IF('路线'!B3="感性",MATCH(S25,'第二属性比较'!AH2:AH1100,0),IF('路线'!B3="理性",MATCH(S25,'第二属性比较'!AN2:AN1100,0),MATCH(S25,'第二属性比较'!AT2:AT1100,0))))),IF('路线'!C4=0,P16,INDEX('第二属性比较'!A2:A1100,IF('路线'!B3="感性",MATCH(S26,'第二属性比较'!AI2:AI1100,0),IF('路线'!B3="理性",MATCH(S26,'第二属性比较'!AO2:AO1100,0),MATCH(S26,'第二属性比较'!AU2:AU1100,0))))))),M15)))</f>
      </c>
      <c r="N16" s="3"/>
      <c r="O16" s="3"/>
      <c r="P16" s="114">
        <f>IF(AND(P13=A9,P14=D10,P15=J11),IF('路线'!B3="感性",INDEX('第二属性比较'!A2:A1100,IF('路线'!B2="红",MATCH(P24,'第二属性比较'!AD2:AD1100,0),IF('路线'!B2="蓝",MATCH(P25,'第二属性比较'!AE2:AE1100,0),MATCH(P26,'第二属性比较'!AF2:AF1100,0)))),IF('路线'!B3="理性",INDEX('第二属性比较'!A2:A1100,IF('路线'!B2="红",MATCH(P24,'第二属性比较'!AJ2:AJ1100,0),IF('路线'!B2="蓝",MATCH(P25,'第二属性比较'!AK2:AK1100,0),MATCH(P26,'第二属性比较'!AL2:AL1100,0)))),INDEX('第二属性比较'!A2:A1100,IF('路线'!B2="红",MATCH(P24,'第二属性比较'!AP2:AP1100,0),IF('路线'!B2="蓝",MATCH(P25,'第二属性比较'!AQ2:AQ1100,0),MATCH(P26,'第二属性比较'!AR2:AR1100,0)))))),IF(OR(AND(P13=A9,P15=J11),AND(P14=D10,P15=J11)),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15=J11,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15)))</f>
      </c>
      <c r="Q16" s="1" t="str"/>
      <c r="R16" s="1" t="str"/>
      <c r="S16" s="1" t="str"/>
      <c r="T16" s="1" t="str"/>
      <c r="U16" s="1" t="str"/>
    </row>
    <row customHeight="true" ht="19" r="17">
      <c r="A17" s="1" t="str"/>
      <c r="B17" s="1" t="str"/>
      <c r="C17" s="1" t="str"/>
      <c r="D17" s="1" t="str"/>
      <c r="E17" s="1" t="str"/>
      <c r="F17" s="1" t="str"/>
      <c r="G17" s="1" t="str"/>
      <c r="H17" s="1" t="str"/>
      <c r="I17" s="1" t="str"/>
      <c r="J17" s="1" t="str"/>
      <c r="K17" s="1" t="str"/>
      <c r="L17" s="1" t="str"/>
      <c r="M17" s="3"/>
      <c r="N17" s="3"/>
      <c r="O17" s="3"/>
      <c r="P17" s="114">
        <f>IF(AND(P16=J12,P15=J11,P14=D10,P13=A9),IF('路线'!B3="感性",INDEX('第二属性比较'!A2:A1100,IF('路线'!B2="红",MATCH(Q24,'第二属性比较'!AD2:AD1100,0),IF('路线'!B2="蓝",MATCH(Q25,'第二属性比较'!AE2:AE1100,0),MATCH(Q26,'第二属性比较'!AF2:AF1100,0)))),IF('路线'!B3="理性",INDEX('第二属性比较'!A2:A1100,IF('路线'!B2="红",MATCH(Q24,'第二属性比较'!AJ2:AJ1100,0),IF('路线'!B2="蓝",MATCH(Q25,'第二属性比较'!AK2:AK1100,0),MATCH(Q26,'第二属性比较'!AL2:AL1100,0)))),INDEX('第二属性比较'!A2:A1100,IF('路线'!B2="红",MATCH(Q24,'第二属性比较'!AP2:AP1100,0),IF('路线'!B2="蓝",MATCH(Q25,'第二属性比较'!AQ2:AQ1100,0),MATCH(Q26,'第二属性比较'!AR2:AR1100,0)))))),IF(OR(AND(P16=J12,P15=J11,P14=D10),AND(P16=J12,P15=J11,P13=A9),AND(P16=J12,P14=D10,P13=A9)),IF('路线'!B3="感性",INDEX('第二属性比较'!A2:A1100,IF('路线'!B2="红",MATCH(P24,'第二属性比较'!AD2:AD1100,0),IF('路线'!B2="蓝",MATCH(P25,'第二属性比较'!AE2:AE1100,0),MATCH(P26,'第二属性比较'!AF2:AF1100,0)))),IF('路线'!B3="理性",INDEX('第二属性比较'!A2:A1100,IF('路线'!B2="红",MATCH(P24,'第二属性比较'!AJ2:AJ1100,0),IF('路线'!B2="蓝",MATCH(P25,'第二属性比较'!AK2:AK1100,0),MATCH(P26,'第二属性比较'!AL2:AL1100,0)))),INDEX('第二属性比较'!A2:A1100,IF('路线'!B2="红",MATCH(P24,'第二属性比较'!AP2:AP1100,0),IF('路线'!B2="蓝",MATCH(P25,'第二属性比较'!AQ2:AQ1100,0),MATCH(P26,'第二属性比较'!AR2:AR1100,0)))))),IF(OR(AND(P16=J12,P15=J11),AND(P16=J12,P14=D10),AND(P16=J12,P13=A9)),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16=J12,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16))))</f>
      </c>
      <c r="Q17" s="1" t="str"/>
      <c r="R17" s="1" t="str"/>
      <c r="S17" s="1" t="str"/>
      <c r="T17" s="1" t="str"/>
      <c r="U17" s="1" t="str"/>
    </row>
    <row customHeight="true" ht="19" r="18">
      <c r="A18" s="111">
        <f>IF('路线'!B3="感性",INDEX('第三属性比较'!A2:A999,IF(OR(AND('路线'!B1="红",'路线'!B2="蓝"),AND('路线'!B1="蓝",'路线'!B2="红")),MATCH(B16,'第三属性比较'!R2:R999,0),IF(OR(AND('路线'!B1="黄",'路线'!B2="蓝"),AND('路线'!B1="蓝",'路线'!B2="黄")),MATCH(B14,'第三属性比较'!L2:L999,0),MATCH(B15,'第三属性比较'!O2:O999,0)))),IF('路线'!B3="理性",INDEX('第三属性比较'!A2:A999,IF(OR(AND('路线'!B1="红",'路线'!B2="蓝"),AND('路线'!B1="蓝",'路线'!B2="红")),MATCH(B16,'第三属性比较'!S2:S999,0),IF(OR(AND('路线'!B1="黄",'路线'!B2="蓝"),AND('路线'!B1="蓝",'路线'!B2="黄")),MATCH(B14,'第三属性比较'!M2:M999,0),MATCH(B15,'第三属性比较'!P2:P999,0)))),INDEX('第三属性比较'!A2:A999,IF(OR(AND('路线'!B1="红",'路线'!B2="蓝"),AND('路线'!B1="蓝",'路线'!B2="红")),MATCH(B16,'第三属性比较'!T2:T999,0),IF(OR(AND('路线'!B1="黄",'路线'!B2="蓝"),AND('路线'!B1="蓝",'路线'!B2="黄")),MATCH(B14,'第三属性比较'!N2:N999,0),MATCH(B15,'第三属性比较'!Q2:Q999,0))))))</f>
      </c>
      <c r="B18" s="1" t="str"/>
      <c r="C18" s="1" t="str"/>
      <c r="D18" s="111" t="str">
        <v>借</v>
      </c>
      <c r="E18" s="1" t="str"/>
      <c r="F18" s="1" t="str"/>
      <c r="G18" s="1" t="str"/>
      <c r="H18" s="1" t="str"/>
      <c r="I18" s="1" t="str"/>
      <c r="J18" s="1" t="str"/>
      <c r="K18" s="1" t="str"/>
      <c r="L18" s="1" t="str"/>
      <c r="M18" s="1" t="str"/>
      <c r="N18" s="1" t="str"/>
      <c r="O18" s="1" t="str"/>
      <c r="P18" s="1" t="str"/>
      <c r="Q18" s="1" t="str"/>
      <c r="R18" s="1" t="str"/>
      <c r="S18" s="1" t="str"/>
      <c r="T18" s="1" t="str"/>
      <c r="U18" s="1" t="str"/>
    </row>
    <row customHeight="true" ht="19" r="19">
      <c r="A19" s="111">
        <f>IF('路线'!B3="感性",INDEX('第三属性比较'!A2:A999,IF(OR(AND('路线'!B1="红",'路线'!B2="蓝"),AND('路线'!B1="蓝",'路线'!B2="红")),MATCH(C16,'第三属性比较'!R2:R999,0),IF(OR(AND('路线'!B1="黄",'路线'!B2="蓝"),AND('路线'!B1="蓝",'路线'!B2="黄")),MATCH(C14,'第三属性比较'!L2:L999,0),MATCH(C15,'第三属性比较'!O2:O999,0)))),IF('路线'!B3="理性",INDEX('第三属性比较'!A2:A999,IF(OR(AND('路线'!B1="红",'路线'!B2="蓝"),AND('路线'!B1="蓝",'路线'!B2="红")),MATCH(C16,'第三属性比较'!S2:S999,0),IF(OR(AND('路线'!B1="黄",'路线'!B2="蓝"),AND('路线'!B1="蓝",'路线'!B2="黄")),MATCH(C14,'第三属性比较'!M2:M999,0),MATCH(C15,'第三属性比较'!P2:P999,0)))),INDEX('第三属性比较'!A2:A999,IF(OR(AND('路线'!B1="红",'路线'!B2="蓝"),AND('路线'!B1="蓝",'路线'!B2="红")),MATCH(C16,'第三属性比较'!T2:T999,0),IF(OR(AND('路线'!B1="黄",'路线'!B2="蓝"),AND('路线'!B1="蓝",'路线'!B2="黄")),MATCH(C14,'第三属性比较'!N2:N999,0),MATCH(C15,'第三属性比较'!Q2:Q999,0))))))</f>
      </c>
      <c r="B19" s="1" t="str"/>
      <c r="C19" s="1" t="str"/>
      <c r="D19" s="111">
        <f>IF('路线'!B3="感性",INDEX('第三属性比较'!A2:A999,IF(OR(AND('路线'!B1="红",'路线'!B2="蓝"),AND('路线'!B1="蓝",'路线'!B2="红")),MATCH(E16,'第三属性比较'!AF2:AF999,0),IF(OR(AND('路线'!B1="黄",'路线'!B2="蓝"),AND('路线'!B1="蓝",'路线'!B2="黄")),MATCH(E14,'第三属性比较'!AD2:AD999,0),MATCH(E15,'第三属性比较'!AE2:AE999,0)))),IF('路线'!B3="理性",INDEX('第三属性比较'!A2:A999,IF(OR(AND('路线'!B1="红",'路线'!B2="蓝"),AND('路线'!B1="蓝",'路线'!B2="红")),MATCH(E16,'第三属性比较'!AL2:AL999,0),IF(OR(AND('路线'!B1="黄",'路线'!B2="蓝"),AND('路线'!B1="蓝",'路线'!B2="黄")),MATCH(E14,'第三属性比较'!AJ2:AJ999,0),MATCH(E15,'第三属性比较'!AK2:AK999,0)))),INDEX('第三属性比较'!A2:A999,IF(OR(AND('路线'!B1="红",'路线'!B2="蓝"),AND('路线'!B1="蓝",'路线'!B2="红")),MATCH(E16,'第三属性比较'!AR2:AR999,0),IF(OR(AND('路线'!B1="黄",'路线'!B2="蓝"),AND('路线'!B1="蓝",'路线'!B2="黄")),MATCH(E14,'第三属性比较'!AP2:AP999,0),MATCH(E15,'第三属性比较'!AQ2:AQ999,0))))))</f>
      </c>
      <c r="E19" s="1" t="str"/>
      <c r="F19" s="1" t="str"/>
      <c r="G19" s="1" t="str"/>
      <c r="H19" s="1" t="str"/>
      <c r="I19" s="1" t="str"/>
      <c r="J19" s="1" t="str"/>
      <c r="K19" s="1" t="str"/>
      <c r="L19" s="1" t="str"/>
      <c r="M19" s="1" t="str"/>
      <c r="N19" s="1" t="str"/>
      <c r="O19" s="1" t="str"/>
      <c r="P19" s="1" t="str"/>
      <c r="Q19" s="1" t="str"/>
      <c r="R19" s="1" t="str"/>
      <c r="S19" s="1" t="str"/>
      <c r="T19" s="1" t="str"/>
      <c r="U19" s="1" t="str"/>
    </row>
    <row customHeight="true" ht="19" r="20">
      <c r="A20" s="1" t="str"/>
      <c r="B20" s="1" t="str"/>
      <c r="C20" s="1" t="str"/>
      <c r="D20" s="111">
        <f>IF(D19=A18,IF('路线'!B3="感性",INDEX('第三属性比较'!A2:A999,IF(OR(AND('路线'!B1="红",'路线'!B2="蓝"),AND('路线'!B1="蓝",'路线'!B2="红")),MATCH(F16,'第三属性比较'!AF2:AF999,0),IF(OR(AND('路线'!B1="黄",'路线'!B2="蓝"),AND('路线'!B1="蓝",'路线'!B2="黄")),MATCH(F14,'第三属性比较'!AD2:AD999,0),MATCH(F15,'第三属性比较'!AE2:AE999,0)))),IF('路线'!B3="理性",INDEX('第三属性比较'!A2:A999,IF(OR(AND('路线'!B1="红",'路线'!B2="蓝"),AND('路线'!B1="蓝",'路线'!B2="红")),MATCH(F16,'第三属性比较'!AL2:AL999,0),IF(OR(AND('路线'!B1="黄",'路线'!B2="蓝"),AND('路线'!B1="蓝",'路线'!B2="黄")),MATCH(F14,'第三属性比较'!AJ2:AJ999,0),MATCH(F15,'第三属性比较'!AK2:AK999,0)))),INDEX('第三属性比较'!A2:A999,IF(OR(AND('路线'!B1="红",'路线'!B2="蓝"),AND('路线'!B1="蓝",'路线'!B2="红")),MATCH(F16,'第三属性比较'!AR2:AR999,0),IF(OR(AND('路线'!B1="黄",'路线'!B2="蓝"),AND('路线'!B1="蓝",'路线'!B2="黄")),MATCH(F14,'第三属性比较'!AP2:AP999,0),MATCH(F15,'第三属性比较'!AQ2:AQ999,0)))))),D19)</f>
      </c>
      <c r="E20" s="1" t="str"/>
      <c r="F20" s="1" t="str"/>
      <c r="G20" s="1" t="str"/>
      <c r="H20" s="1" t="str"/>
      <c r="I20" s="1" t="str"/>
      <c r="J20" s="1" t="str"/>
      <c r="K20" s="1" t="str"/>
      <c r="L20" s="1" t="str"/>
      <c r="M20" s="1" t="str"/>
      <c r="N20" s="1" t="str"/>
      <c r="O20" s="1" t="str"/>
      <c r="P20" s="1" t="str"/>
      <c r="Q20" s="1" t="str"/>
      <c r="R20" s="1" t="str"/>
      <c r="S20" s="1" t="str"/>
      <c r="T20" s="1" t="str"/>
      <c r="U20" s="1" t="str"/>
    </row>
    <row customHeight="true" ht="19" r="21">
      <c r="A21" s="1" t="str"/>
      <c r="B21" s="1" t="str"/>
      <c r="C21" s="1" t="str"/>
      <c r="D21" s="111">
        <f>IF(AND(D20=A19,D19=A18),IF('路线'!B3="感性",INDEX('第三属性比较'!A2:A999,IF(OR(AND('路线'!B1="红",'路线'!B2="蓝"),AND('路线'!B1="蓝",'路线'!B2="红")),MATCH(G16,'第三属性比较'!AF2:AF999,0),IF(OR(AND('路线'!B1="黄",'路线'!B2="蓝"),AND('路线'!B1="蓝",'路线'!B2="黄")),MATCH(G14,'第三属性比较'!AD2:AD999,0),MATCH(G15,'第三属性比较'!AE2:AE999,0)))),IF('路线'!B3="理性",INDEX('第三属性比较'!A2:A999,IF(OR(AND('路线'!B1="红",'路线'!B2="蓝"),AND('路线'!B1="蓝",'路线'!B2="红")),MATCH(G16,'第三属性比较'!AL2:AL999,0),IF(OR(AND('路线'!B1="黄",'路线'!B2="蓝"),AND('路线'!B1="蓝",'路线'!B2="黄")),MATCH(G14,'第三属性比较'!AJ2:AJ999,0),MATCH(G15,'第三属性比较'!AK2:AK999,0)))),INDEX('第三属性比较'!A2:A999,IF(OR(AND('路线'!B1="红",'路线'!B2="蓝"),AND('路线'!B1="蓝",'路线'!B2="红")),MATCH(G16,'第三属性比较'!AR2:AR999,0),IF(OR(AND('路线'!B1="黄",'路线'!B2="蓝"),AND('路线'!B1="蓝",'路线'!B2="黄")),MATCH(G14,'第三属性比较'!AP2:AP999,0),MATCH(G15,'第三属性比较'!AQ2:AQ999,0)))))),IF(D20=A19,IF('路线'!B3="感性",INDEX('第三属性比较'!A2:A999,IF(OR(AND('路线'!B1="红",'路线'!B2="蓝"),AND('路线'!B1="蓝",'路线'!B2="红")),MATCH(F16,'第三属性比较'!AF2:AF999,0),IF(OR(AND('路线'!B1="黄",'路线'!B2="蓝"),AND('路线'!B1="蓝",'路线'!B2="黄")),MATCH(F14,'第三属性比较'!AD2:AD999,0),MATCH(F15,'第三属性比较'!AE2:AE999,0)))),IF('路线'!B3="理性",INDEX('第三属性比较'!A2:A999,IF(OR(AND('路线'!B1="红",'路线'!B2="蓝"),AND('路线'!B1="蓝",'路线'!B2="红")),MATCH(F16,'第三属性比较'!AL2:AL999,0),IF(OR(AND('路线'!B1="黄",'路线'!B2="蓝"),AND('路线'!B1="蓝",'路线'!B2="黄")),MATCH(F14,'第三属性比较'!AJ2:AJ999,0),MATCH(F15,'第三属性比较'!AK2:AK999,0)))),INDEX('第三属性比较'!A2:A999,IF(OR(AND('路线'!B1="红",'路线'!B2="蓝"),AND('路线'!B1="蓝",'路线'!B2="红")),MATCH(F16,'第三属性比较'!AR2:AR999,0),IF(OR(AND('路线'!B1="黄",'路线'!B2="蓝"),AND('路线'!B1="蓝",'路线'!B2="黄")),MATCH(F14,'第三属性比较'!AP2:AP999,0),MATCH(F15,'第三属性比较'!AQ2:AQ999,0)))))),D20))</f>
      </c>
      <c r="E21" s="1" t="str"/>
      <c r="F21" s="1" t="str"/>
      <c r="G21" s="1" t="str"/>
      <c r="H21" s="1" t="str"/>
      <c r="I21" s="1" t="str"/>
      <c r="J21" s="1" t="str"/>
      <c r="K21" s="1" t="str"/>
      <c r="L21" s="1" t="str"/>
      <c r="M21" s="1" t="str"/>
      <c r="N21" s="1" t="str"/>
      <c r="O21" s="1" t="str"/>
      <c r="P21" s="1" t="str"/>
      <c r="Q21" s="1" t="str"/>
      <c r="R21" s="1" t="str"/>
      <c r="S21" s="1" t="str"/>
      <c r="T21" s="1" t="str"/>
      <c r="U21" s="1" t="str"/>
    </row>
    <row customHeight="true" ht="19" r="22">
      <c r="A22" s="1" t="str"/>
      <c r="B22" s="1" t="str"/>
      <c r="C22" s="1" t="str"/>
      <c r="D22" s="1" t="str"/>
      <c r="E22" s="1" t="str"/>
      <c r="F22" s="1" t="str"/>
      <c r="G22" s="1" t="str"/>
      <c r="H22" s="1" t="str"/>
      <c r="I22" s="1" t="str"/>
      <c r="J22" s="1" t="str"/>
      <c r="K22" s="1" t="str"/>
      <c r="L22" s="1" t="str"/>
      <c r="M22" s="1" t="str"/>
      <c r="N22" s="1" t="str"/>
      <c r="O22" s="1" t="str"/>
      <c r="P22" s="1" t="str"/>
      <c r="Q22" s="1" t="str"/>
      <c r="R22" s="1" t="str"/>
      <c r="S22" s="1" t="str"/>
      <c r="T22" s="1" t="str"/>
      <c r="U22" s="1" t="str"/>
    </row>
    <row customHeight="true" ht="19" r="23">
      <c r="A23" s="111" t="str">
        <v>第二属性</v>
      </c>
      <c r="B23" s="1" t="str"/>
      <c r="C23" s="1" t="str"/>
      <c r="D23" s="1" t="str"/>
      <c r="E23" s="1" t="str"/>
      <c r="F23" s="1" t="str"/>
      <c r="G23" s="1" t="str"/>
      <c r="H23" s="111" t="str">
        <v>SP</v>
      </c>
      <c r="I23" s="1" t="str"/>
      <c r="J23" s="1" t="str"/>
      <c r="K23" s="1" t="str"/>
      <c r="L23" s="1" t="str"/>
      <c r="M23" s="111" t="str">
        <v>借卡2</v>
      </c>
      <c r="N23" s="1" t="str"/>
      <c r="O23" s="1" t="str"/>
      <c r="P23" s="1" t="str"/>
      <c r="Q23" s="1" t="str"/>
      <c r="R23" s="111" t="str">
        <v>SP</v>
      </c>
      <c r="S23" s="1" t="str"/>
      <c r="T23" s="1" t="str"/>
      <c r="U23" s="1" t="str"/>
    </row>
    <row customHeight="true" ht="19" r="24">
      <c r="A24" s="111" t="str">
        <v>红</v>
      </c>
      <c r="B24" s="111">
        <f>IF('路线'!B3="感性",LARGE('第二属性比较'!L2:L1100,1),IF('路线'!B3="理性",LARGE('第二属性比较'!M2:M1100,1),LARGE('第二属性比较'!N2:N1100,1)))</f>
      </c>
      <c r="C24" s="111">
        <f>IF('路线'!B3="感性",LARGE('第二属性比较'!L2:L1100,2),IF('路线'!B3="理性",LARGE('第二属性比较'!M2:M1100,2),LARGE('第二属性比较'!N2:N1100,2)))</f>
      </c>
      <c r="D24" s="111">
        <f>IF('路线'!B3="感性",LARGE('第二属性比较'!L2:L1100,3),IF('路线'!B3="理性",LARGE('第二属性比较'!M2:M1100,3),LARGE('第二属性比较'!N2:N1100,3)))</f>
      </c>
      <c r="E24" s="111">
        <f>IF('路线'!B3="感性",LARGE('第二属性比较'!L2:L1100,4),IF('路线'!B3="理性",LARGE('第二属性比较'!M2:M1100,4),LARGE('第二属性比较'!N2:N1100,4)))</f>
      </c>
      <c r="F24" s="111">
        <f>IF('路线'!B3="感性",LARGE('第二属性比较'!L2:L1100,5),IF('路线'!B3="理性",LARGE('第二属性比较'!M2:M1100,5),LARGE('第二属性比较'!N2:N1100,5)))</f>
      </c>
      <c r="G24" s="111">
        <f>IF('路线'!B3="感性",LARGE('第二属性比较'!L2:L1100,6),IF('路线'!B3="理性",LARGE('第二属性比较'!M2:M1100,6),LARGE('第二属性比较'!N2:N1100,6)))</f>
      </c>
      <c r="H24" s="111">
        <f>IF('路线'!B3="感性",LARGE('第二属性比较'!U2:U1100,1),IF('路线'!B3="理性",LARGE('第二属性比较'!X2:X1100,1),LARGE('第二属性比较'!AA2:AA1100,1)))</f>
      </c>
      <c r="I24" s="111">
        <f>IF('路线'!B3="感性",LARGE('第二属性比较'!U2:U1100,2),IF('路线'!B3="理性",LARGE('第二属性比较'!X2:X1100,2),LARGE('第二属性比较'!AA2:AA1100,2)))</f>
      </c>
      <c r="J24" s="111">
        <f>IF('路线'!B3="感性",LARGE('第二属性比较'!U2:U1100,3),IF('路线'!B3="理性",LARGE('第二属性比较'!X2:X1100,3),LARGE('第二属性比较'!AA2:AA1100,3)))</f>
      </c>
      <c r="K24" s="1" t="str"/>
      <c r="L24" s="1" t="str"/>
      <c r="M24" s="111">
        <f>IF('路线'!B3="感性",LARGE('第二属性比较'!AD2:AD1100,1),IF('路线'!B3="理性",LARGE('第二属性比较'!AJ2:AJ1100,1),LARGE('第二属性比较'!AP2:AP1100,1)))</f>
      </c>
      <c r="N24" s="111">
        <f>IF('路线'!B3="感性",LARGE('第二属性比较'!AD2:AD1100,2),IF('路线'!B3="理性",LARGE('第二属性比较'!AJ2:AJ1100,2),LARGE('第二属性比较'!AP2:AP1100,2)))</f>
      </c>
      <c r="O24" s="111">
        <f>IF('路线'!B3="感性",LARGE('第二属性比较'!AD2:AD1100,3),IF('路线'!B3="理性",LARGE('第二属性比较'!AJ2:AJ1100,3),LARGE('第二属性比较'!AP2:AP1100,3)))</f>
      </c>
      <c r="P24" s="111">
        <f>IF('路线'!B3="感性",LARGE('第二属性比较'!AD2:AD1100,4),IF('路线'!B3="理性",LARGE('第二属性比较'!AJ2:AJ1100,4),LARGE('第二属性比较'!AP2:AP1100,4)))</f>
      </c>
      <c r="Q24" s="111">
        <f>IF('路线'!B3="感性",LARGE('第二属性比较'!AD2:AD1100,5),IF('路线'!B3="理性",LARGE('第二属性比较'!AJ2:AJ1100,5),LARGE('第二属性比较'!AP2:AP1100,5)))</f>
      </c>
      <c r="R24" s="111">
        <f>IF('路线'!B3="感性",LARGE('第二属性比较'!AG2:AG1100,1),IF('路线'!B3="理性",LARGE('第二属性比较'!AM2:AM1100,1),LARGE('第二属性比较'!AS2:AS1100,1)))</f>
      </c>
      <c r="S24" s="111">
        <f>IF('路线'!B3="感性",LARGE('第二属性比较'!AG2:AG1100,2),IF('路线'!B3="理性",LARGE('第二属性比较'!AM2:AM1100,2),LARGE('第二属性比较'!AS2:AS1100,2)))</f>
      </c>
      <c r="T24" s="111">
        <f>IF('路线'!B3="感性",LARGE('第二属性比较'!AG2:AG1100,3),IF('路线'!B3="理性",LARGE('第二属性比较'!AM2:AM1100,3),LARGE('第二属性比较'!AS2:AS1100,3)))</f>
      </c>
      <c r="U24" s="111">
        <f>IF('路线'!B3="感性",LARGE('第二属性比较'!AG2:AG1100,4),IF('路线'!B3="理性",LARGE('第二属性比较'!AM2:AM1100,4),LARGE('第二属性比较'!AS2:AS1100,4)))</f>
      </c>
    </row>
    <row customHeight="true" ht="19" r="25">
      <c r="A25" s="111" t="str">
        <v>蓝</v>
      </c>
      <c r="B25" s="111">
        <f>IF('路线'!B3="感性",LARGE('第二属性比较'!O2:O1100,1),IF('路线'!B3="理性",LARGE('第二属性比较'!P2:P1100,1),LARGE('第二属性比较'!Q2:Q1100,1)))</f>
      </c>
      <c r="C25" s="111">
        <f>IF('路线'!B3="感性",LARGE('第二属性比较'!O2:O1100,2),IF('路线'!B3="理性",LARGE('第二属性比较'!P2:P1100,2),LARGE('第二属性比较'!Q2:Q1100,2)))</f>
      </c>
      <c r="D25" s="111">
        <f>IF('路线'!B3="感性",LARGE('第二属性比较'!O2:O1100,3),IF('路线'!B3="理性",LARGE('第二属性比较'!P2:P1100,3),LARGE('第二属性比较'!Q2:Q1100,3)))</f>
      </c>
      <c r="E25" s="111">
        <f>IF('路线'!B3="感性",LARGE('第二属性比较'!O2:O1100,4),IF('路线'!B3="理性",LARGE('第二属性比较'!P2:P1100,4),LARGE('第二属性比较'!Q2:Q1100,4)))</f>
      </c>
      <c r="F25" s="111">
        <f>IF('路线'!B3="感性",LARGE('第二属性比较'!O2:O1100,5),IF('路线'!B3="理性",LARGE('第二属性比较'!P2:P1100,5),LARGE('第二属性比较'!Q2:Q1100,5)))</f>
      </c>
      <c r="G25" s="111">
        <f>IF('路线'!B3="感性",LARGE('第二属性比较'!O2:O1100,6),IF('路线'!B3="理性",LARGE('第二属性比较'!P2:P1100,6),LARGE('第二属性比较'!Q2:Q1100,6)))</f>
      </c>
      <c r="H25" s="111">
        <f>IF('路线'!B3="感性",LARGE('第二属性比较'!V2:V1100,1),IF('路线'!B3="理性",LARGE('第二属性比较'!Y2:Y1100,1),LARGE('第二属性比较'!AB2:AB1100,1)))</f>
      </c>
      <c r="I25" s="111">
        <f>IF('路线'!B3="感性",LARGE('第二属性比较'!V2:V1100,2),IF('路线'!B3="理性",LARGE('第二属性比较'!Y2:Y1100,2),LARGE('第二属性比较'!AB2:AB1100,2)))</f>
      </c>
      <c r="J25" s="111">
        <f>IF('路线'!B3="感性",LARGE('第二属性比较'!V2:V1100,3),IF('路线'!B3="理性",LARGE('第二属性比较'!Y2:Y1100,3),LARGE('第二属性比较'!AB2:AB1100,3)))</f>
      </c>
      <c r="K25" s="1" t="str"/>
      <c r="L25" s="1" t="str"/>
      <c r="M25" s="111">
        <f>IF('路线'!B3="感性",LARGE('第二属性比较'!AE2:AE1100,1),IF('路线'!B3="理性",LARGE('第二属性比较'!AK2:AK1100,1),LARGE('第二属性比较'!AQ2:AQ1100,1)))</f>
      </c>
      <c r="N25" s="111">
        <f>IF('路线'!B3="感性",LARGE('第二属性比较'!AE2:AE1100,2),IF('路线'!B3="理性",LARGE('第二属性比较'!AK2:AK1100,2),LARGE('第二属性比较'!AQ2:AQ1100,2)))</f>
      </c>
      <c r="O25" s="111">
        <f>IF('路线'!B3="感性",LARGE('第二属性比较'!AE2:AE1100,3),IF('路线'!B3="理性",LARGE('第二属性比较'!AK2:AK1100,3),LARGE('第二属性比较'!AQ2:AQ1100,3)))</f>
      </c>
      <c r="P25" s="111">
        <f>IF('路线'!B3="感性",LARGE('第二属性比较'!AE2:AE1100,4),IF('路线'!B3="理性",LARGE('第二属性比较'!AK2:AK1100,4),LARGE('第二属性比较'!AQ2:AQ1100,4)))</f>
      </c>
      <c r="Q25" s="111">
        <f>IF('路线'!B3="感性",LARGE('第二属性比较'!AE2:AE1100,5),IF('路线'!B3="理性",LARGE('第二属性比较'!AK2:AK1100,5),LARGE('第二属性比较'!AQ2:AQ1100,5)))</f>
      </c>
      <c r="R25" s="111">
        <f>IF('路线'!B3="感性",LARGE('第二属性比较'!AH2:AH1100,1),IF('路线'!B3="理性",LARGE('第二属性比较'!AN2:AN1100,1),LARGE('第二属性比较'!AT2:AT1100,1)))</f>
      </c>
      <c r="S25" s="111">
        <f>IF('路线'!B3="感性",LARGE('第二属性比较'!AH2:AH1100,2),IF('路线'!B3="理性",LARGE('第二属性比较'!AN2:AN1100,2),LARGE('第二属性比较'!AT2:AT1100,2)))</f>
      </c>
      <c r="T25" s="111">
        <f>IF('路线'!B3="感性",LARGE('第二属性比较'!AH2:AH1100,3),IF('路线'!B3="理性",LARGE('第二属性比较'!AN2:AN1100,3),LARGE('第二属性比较'!AT2:AT1100,3)))</f>
      </c>
      <c r="U25" s="111">
        <f>IF('路线'!B3="感性",LARGE('第二属性比较'!AH2:AH1100,4),IF('路线'!B3="理性",LARGE('第二属性比较'!AN2:AN1100,4),LARGE('第二属性比较'!AT2:AT1100,4)))</f>
      </c>
    </row>
    <row customHeight="true" ht="19" r="26">
      <c r="A26" s="111" t="str">
        <v>黄</v>
      </c>
      <c r="B26" s="111">
        <f>IF('路线'!B3="感性",LARGE('第二属性比较'!R2:R1100,1),IF('路线'!B3="理性",LARGE('第二属性比较'!S2:S1100,1),LARGE('第二属性比较'!T2:T1100,1)))</f>
      </c>
      <c r="C26" s="111">
        <f>IF('路线'!B3="感性",LARGE('第二属性比较'!R2:R1100,2),IF('路线'!B3="理性",LARGE('第二属性比较'!S2:S1100,2),LARGE('第二属性比较'!T2:T1100,2)))</f>
      </c>
      <c r="D26" s="111">
        <f>IF('路线'!B3="感性",LARGE('第二属性比较'!R2:R1100,3),IF('路线'!B3="理性",LARGE('第二属性比较'!S2:S1100,3),LARGE('第二属性比较'!T2:T1100,3)))</f>
      </c>
      <c r="E26" s="111">
        <f>IF('路线'!B3="感性",LARGE('第二属性比较'!R2:R1100,4),IF('路线'!B3="理性",LARGE('第二属性比较'!S2:S1100,4),LARGE('第二属性比较'!T2:T1100,4)))</f>
      </c>
      <c r="F26" s="111">
        <f>IF('路线'!B3="感性",LARGE('第二属性比较'!R2:R1100,5),IF('路线'!B3="理性",LARGE('第二属性比较'!S2:S1100,5),LARGE('第二属性比较'!T2:T1100,5)))</f>
      </c>
      <c r="G26" s="111">
        <f>IF('路线'!B3="感性",LARGE('第二属性比较'!R2:R1100,6),IF('路线'!B3="理性",LARGE('第二属性比较'!S2:S1100,6),LARGE('第二属性比较'!T2:T1100,6)))</f>
      </c>
      <c r="H26" s="111">
        <f>IF('路线'!B3="感性",LARGE('第二属性比较'!W2:W1100,1),IF('路线'!B3="理性",LARGE('第二属性比较'!Z2:Z1100,1),LARGE('第二属性比较'!AC2:AC1100,1)))</f>
      </c>
      <c r="I26" s="111">
        <f>IF('路线'!B3="感性",LARGE('第二属性比较'!W2:W1100,2),IF('路线'!B3="理性",LARGE('第二属性比较'!Z2:Z1100,2),LARGE('第二属性比较'!AC2:AC1100,2)))</f>
      </c>
      <c r="J26" s="111">
        <f>IF('路线'!B3="感性",LARGE('第二属性比较'!W2:W1100,3),IF('路线'!B3="理性",LARGE('第二属性比较'!Z2:Z1100,3),LARGE('第二属性比较'!AC2:AC1100,3)))</f>
      </c>
      <c r="K26" s="1" t="str"/>
      <c r="L26" s="1" t="str"/>
      <c r="M26" s="111">
        <f>IF('路线'!B3="感性",LARGE('第二属性比较'!AF2:AF1100,1),IF('路线'!B3="理性",LARGE('第二属性比较'!AL2:AL1100,1),LARGE('第二属性比较'!AR2:AR1100,1)))</f>
      </c>
      <c r="N26" s="111">
        <f>IF('路线'!B3="感性",LARGE('第二属性比较'!AF2:AF1100,2),IF('路线'!B3="理性",LARGE('第二属性比较'!AL2:AL1100,2),LARGE('第二属性比较'!AR2:AR1100,2)))</f>
      </c>
      <c r="O26" s="111">
        <f>IF('路线'!B3="感性",LARGE('第二属性比较'!AF2:AF1100,3),IF('路线'!B3="理性",LARGE('第二属性比较'!AL2:AL1100,3),LARGE('第二属性比较'!AR2:AR1100,3)))</f>
      </c>
      <c r="P26" s="111">
        <f>IF('路线'!B3="感性",LARGE('第二属性比较'!AF2:AF1100,4),IF('路线'!B3="理性",LARGE('第二属性比较'!AL2:AL1100,4),LARGE('第二属性比较'!AR2:AR1100,4)))</f>
      </c>
      <c r="Q26" s="111">
        <f>IF('路线'!B3="感性",LARGE('第二属性比较'!AF2:AF1100,5),IF('路线'!B3="理性",LARGE('第二属性比较'!AL2:AL1100,5),LARGE('第二属性比较'!AR2:AR1100,5)))</f>
      </c>
      <c r="R26" s="111">
        <f>IF('路线'!B3="感性",LARGE('第二属性比较'!AI2:AI1100,1),IF('路线'!B3="理性",LARGE('第二属性比较'!AO2:AO1100,1),LARGE('第二属性比较'!AU2:AU1100,1)))</f>
      </c>
      <c r="S26" s="111">
        <f>IF('路线'!B3="感性",LARGE('第二属性比较'!AI2:AI1100,2),IF('路线'!B3="理性",LARGE('第二属性比较'!AO2:AO1100,2),LARGE('第二属性比较'!AU2:AU1100,2)))</f>
      </c>
      <c r="T26" s="111">
        <f>IF('路线'!B3="感性",LARGE('第二属性比较'!AI2:AI1100,3),IF('路线'!B3="理性",LARGE('第二属性比较'!AO2:AO1100,3),LARGE('第二属性比较'!AU2:AU1100,3)))</f>
      </c>
      <c r="U26" s="111">
        <f>IF('路线'!B3="感性",LARGE('第二属性比较'!AI2:AI1100,4),IF('路线'!B3="理性",LARGE('第二属性比较'!AO2:AO1100,4),LARGE('第二属性比较'!AU2:AU1100,4)))</f>
      </c>
    </row>
    <row customHeight="true" ht="19" r="27">
      <c r="G27" s="1" t="str"/>
    </row>
    <row customHeight="true" ht="19" r="28">
      <c r="G28" s="111">
        <f>IF('路线'!B3="感性",LARGE('第二属性比较'!L2:L1100,7),IF('路线'!B3="理性",LARGE('第二属性比较'!M2:M1100,7),LARGE('第二属性比较'!N2:N1100,7)))</f>
      </c>
    </row>
    <row customHeight="true" ht="19" r="29">
      <c r="G29" s="111">
        <f>IF('路线'!B3="感性",LARGE('第二属性比较'!O2:O1100,7),IF('路线'!B3="理性",LARGE('第二属性比较'!P2:P1100,7),LARGE('第二属性比较'!Q2:Q1100,7)))</f>
      </c>
    </row>
    <row customHeight="true" ht="19" r="30">
      <c r="G30" s="111">
        <f>IF('路线'!B3="感性",LARGE('第二属性比较'!R2:R1100,7),IF('路线'!B3="理性",LARGE('第二属性比较'!S2:S1100,7),LARGE('第二属性比较'!T2:T1100,7)))</f>
      </c>
    </row>
  </sheetData>
</worksheet>
</file>

<file path=xl/worksheets/sheet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FFFFFF"/>
    <outlinePr summaryBelow="false" summaryRight="false"/>
  </sheetPr>
  <dimension ref="A1"/>
  <sheetViews>
    <sheetView showGridLines="true" workbookViewId="0"/>
  </sheetViews>
  <sheetFormatPr defaultColWidth="14" defaultRowHeight="19"/>
  <cols>
    <col collapsed="false" customWidth="true" hidden="false" max="1" min="1" style="0" width="14"/>
    <col collapsed="false" customWidth="true" hidden="false" max="2" min="2" style="0" width="14"/>
    <col collapsed="false" customWidth="true" hidden="false" max="3" min="3" style="0" width="14"/>
    <col collapsed="false" customWidth="true" hidden="false" max="4" min="4" style="0" width="14"/>
    <col collapsed="false" customWidth="true" hidden="false" max="5" min="5" style="0" width="14"/>
    <col collapsed="false" customWidth="true" hidden="false" max="6" min="6" style="0" width="14"/>
    <col collapsed="false" customWidth="true" hidden="false" max="7" min="7" style="0" width="14"/>
    <col collapsed="false" customWidth="true" hidden="false" max="8" min="8" style="0" width="14"/>
    <col collapsed="false" customWidth="true" hidden="false" max="9" min="9" style="0" width="14"/>
    <col collapsed="false" customWidth="true" hidden="false" max="10" min="10" style="0" width="14"/>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 collapsed="false" customWidth="true" hidden="false" max="22" min="22" style="0" width="14"/>
    <col collapsed="false" customWidth="true" hidden="false" max="23" min="23" style="0" width="14"/>
    <col collapsed="false" customWidth="true" hidden="false" max="24" min="24" style="0" width="14"/>
    <col collapsed="false" customWidth="true" hidden="false" max="25" min="25" style="0" width="14"/>
    <col collapsed="false" customWidth="true" hidden="false" max="26" min="26" style="0" width="14"/>
    <col collapsed="false" customWidth="true" hidden="false" max="27" min="27" style="0" width="14"/>
    <col collapsed="false" customWidth="true" hidden="false" max="28" min="28" style="0" width="14"/>
    <col collapsed="false" customWidth="true" hidden="false" max="29" min="29" style="0" width="14"/>
    <col collapsed="false" customWidth="true" hidden="false" max="30" min="30" style="0" width="14"/>
    <col collapsed="false" customWidth="true" hidden="false" max="31" min="31" style="0" width="14"/>
    <col collapsed="false" customWidth="true" hidden="false" max="32" min="32" style="0" width="14"/>
    <col collapsed="false" customWidth="true" hidden="false" max="33" min="33" style="0" width="14"/>
  </cols>
  <sheetData>
    <row customHeight="true" ht="19" r="1">
      <c r="D1" s="3"/>
      <c r="E1" s="125" t="str">
        <v>3 / 3</v>
      </c>
      <c r="F1" s="3"/>
      <c r="G1" s="3"/>
      <c r="H1" s="3"/>
      <c r="I1" s="3"/>
      <c r="J1" s="3"/>
      <c r="K1" s="125" t="str">
        <v>3 / 2 / 1</v>
      </c>
      <c r="L1" s="3"/>
      <c r="M1" s="3"/>
      <c r="N1" s="3"/>
      <c r="O1" s="3"/>
      <c r="P1" s="3"/>
      <c r="Q1" s="3"/>
      <c r="R1" s="3"/>
      <c r="S1" s="3"/>
      <c r="T1" s="3"/>
      <c r="U1" s="3"/>
      <c r="V1" s="3"/>
      <c r="W1" s="125" t="str">
        <v>2 / 2 / 2</v>
      </c>
      <c r="X1" s="3"/>
      <c r="Y1" s="3"/>
      <c r="Z1" s="3"/>
      <c r="AA1" s="3"/>
      <c r="AB1" s="3"/>
      <c r="AC1" s="125" t="str">
        <v>2 / 4</v>
      </c>
      <c r="AD1" s="3"/>
      <c r="AE1" s="3"/>
      <c r="AF1" s="3"/>
      <c r="AG1" s="3"/>
    </row>
    <row customHeight="true" ht="19" r="2">
      <c r="D2" s="3"/>
      <c r="E2" s="114">
        <f>'卡组计算'!A6</f>
      </c>
      <c r="F2" s="114"/>
      <c r="G2" s="114"/>
      <c r="H2" s="114"/>
      <c r="I2" s="114">
        <f>ROUNDUP(VLOOKUP(E2,'第一属性比较'!A2:D999,4,FALSE),0)</f>
      </c>
      <c r="J2" s="3"/>
      <c r="K2" s="114">
        <f>'卡组计算'!A6</f>
      </c>
      <c r="L2" s="114"/>
      <c r="M2" s="114"/>
      <c r="N2" s="114"/>
      <c r="O2" s="114">
        <f>ROUNDUP(VLOOKUP(K2,'第一属性比较'!A2:D999,4,FALSE),0)</f>
      </c>
      <c r="P2" s="3"/>
      <c r="Q2" s="114">
        <f>'卡组计算'!A9</f>
      </c>
      <c r="R2" s="114"/>
      <c r="S2" s="114"/>
      <c r="T2" s="114"/>
      <c r="U2" s="114">
        <f>ROUNDUP(VLOOKUP(Q2,'第二属性比较'!A2:D1100,4,FALSE),0)</f>
      </c>
      <c r="V2" s="3"/>
      <c r="W2" s="114">
        <f>'卡组计算'!A6</f>
      </c>
      <c r="X2" s="114"/>
      <c r="Y2" s="114"/>
      <c r="Z2" s="114"/>
      <c r="AA2" s="114">
        <f>ROUNDUP(VLOOKUP(W2,'第一属性比较'!A2:D999,4,FALSE),0)</f>
      </c>
      <c r="AB2" s="114"/>
      <c r="AC2" s="114">
        <f>'卡组计算'!A6</f>
      </c>
      <c r="AD2" s="114"/>
      <c r="AE2" s="114"/>
      <c r="AF2" s="114"/>
      <c r="AG2" s="114">
        <f>ROUNDUP(VLOOKUP(AC2,'第一属性比较'!A2:D999,4,FALSE),0)</f>
      </c>
    </row>
    <row customHeight="true" ht="19" r="3">
      <c r="D3" s="3"/>
      <c r="E3" s="114">
        <f>'卡组计算'!D7</f>
      </c>
      <c r="F3" s="114"/>
      <c r="G3" s="114"/>
      <c r="H3" s="114"/>
      <c r="I3" s="114">
        <f>ROUNDUP(VLOOKUP(E3,'第一属性比较'!A2:D999,4,FALSE),0)</f>
      </c>
      <c r="J3" s="3"/>
      <c r="K3" s="114">
        <f>'卡组计算'!D7</f>
      </c>
      <c r="L3" s="114"/>
      <c r="M3" s="114"/>
      <c r="N3" s="114"/>
      <c r="O3" s="114">
        <f>ROUNDUP(VLOOKUP(K3,'第一属性比较'!A2:D999,4,FALSE),0)</f>
      </c>
      <c r="P3" s="3"/>
      <c r="Q3" s="114">
        <f>'卡组计算'!D10</f>
      </c>
      <c r="R3" s="114"/>
      <c r="S3" s="114"/>
      <c r="T3" s="114"/>
      <c r="U3" s="114">
        <f>ROUNDUP(VLOOKUP(Q3,'第二属性比较'!A2:D1100,4,FALSE),0)</f>
      </c>
      <c r="V3" s="3"/>
      <c r="W3" s="114">
        <f>'卡组计算'!D7</f>
      </c>
      <c r="X3" s="114"/>
      <c r="Y3" s="114"/>
      <c r="Z3" s="114"/>
      <c r="AA3" s="114">
        <f>ROUNDUP(VLOOKUP(W3,'第一属性比较'!A2:D999,4,FALSE),0)</f>
      </c>
      <c r="AB3" s="114"/>
      <c r="AC3" s="114">
        <f>'卡组计算'!D7</f>
      </c>
      <c r="AD3" s="114"/>
      <c r="AE3" s="114"/>
      <c r="AF3" s="114"/>
      <c r="AG3" s="114">
        <f>ROUNDUP(VLOOKUP(AC3,'第一属性比较'!A2:D999,4,FALSE),0)</f>
      </c>
    </row>
    <row customHeight="true" ht="19" r="4">
      <c r="D4" s="3"/>
      <c r="E4" s="114">
        <f>'卡组计算'!J8</f>
      </c>
      <c r="F4" s="114"/>
      <c r="G4" s="114"/>
      <c r="H4" s="114"/>
      <c r="I4" s="114">
        <f>ROUNDUP(VLOOKUP(E4,'第一属性比较'!A2:D999,4,FALSE),0)</f>
      </c>
      <c r="J4" s="3"/>
      <c r="K4" s="114">
        <f>'卡组计算'!J8</f>
      </c>
      <c r="L4" s="114"/>
      <c r="M4" s="114"/>
      <c r="N4" s="114"/>
      <c r="O4" s="114">
        <f>ROUNDUP(VLOOKUP(K4,'第一属性比较'!A2:D999,4,FALSE),0)</f>
      </c>
      <c r="P4" s="3"/>
      <c r="Q4" s="114">
        <f>'卡组计算'!J11</f>
      </c>
      <c r="R4" s="114"/>
      <c r="S4" s="114"/>
      <c r="T4" s="114"/>
      <c r="U4" s="114">
        <f>ROUNDUP(VLOOKUP(Q4,'第二属性比较'!A2:D1100,4,FALSE),0)</f>
      </c>
      <c r="V4" s="3"/>
      <c r="W4" s="114">
        <f>'卡组计算'!A9</f>
      </c>
      <c r="X4" s="114"/>
      <c r="Y4" s="114"/>
      <c r="Z4" s="114"/>
      <c r="AA4" s="114">
        <f>ROUNDUP(VLOOKUP(W4,'第二属性比较'!A2:D1100,4,FALSE),0)</f>
      </c>
      <c r="AB4" s="114"/>
      <c r="AC4" s="124">
        <f>'卡组计算'!A9</f>
      </c>
      <c r="AD4" s="124"/>
      <c r="AE4" s="124"/>
      <c r="AF4" s="124"/>
      <c r="AG4" s="114">
        <f>ROUNDUP(VLOOKUP(AC4,'第二属性比较'!A2:D1100,4,FALSE),0)</f>
      </c>
    </row>
    <row customHeight="true" ht="19" r="5">
      <c r="D5" s="3"/>
      <c r="E5" s="114">
        <f>'卡组计算'!A9</f>
      </c>
      <c r="F5" s="114"/>
      <c r="G5" s="114"/>
      <c r="H5" s="114"/>
      <c r="I5" s="114">
        <f>ROUNDUP(VLOOKUP(E5,'第二属性比较'!A2:D1100,4,FALSE),0)</f>
      </c>
      <c r="J5" s="3"/>
      <c r="K5" s="114">
        <f>'卡组计算'!A9</f>
      </c>
      <c r="L5" s="114"/>
      <c r="M5" s="114"/>
      <c r="N5" s="114"/>
      <c r="O5" s="114">
        <f>ROUNDUP(VLOOKUP(K5,'第二属性比较'!A2:D1100,4,FALSE),0)</f>
      </c>
      <c r="P5" s="3"/>
      <c r="Q5" s="114">
        <f>'卡组计算'!A6</f>
      </c>
      <c r="R5" s="114"/>
      <c r="S5" s="114"/>
      <c r="T5" s="114"/>
      <c r="U5" s="114">
        <f>ROUNDUP(VLOOKUP(Q5,'第一属性比较'!A2:D999,4,FALSE),0)</f>
      </c>
      <c r="V5" s="3"/>
      <c r="W5" s="114">
        <f>'卡组计算'!D10</f>
      </c>
      <c r="X5" s="114"/>
      <c r="Y5" s="114"/>
      <c r="Z5" s="114"/>
      <c r="AA5" s="114">
        <f>ROUNDUP(VLOOKUP(W5,'第二属性比较'!A2:D1100,4,FALSE),0)</f>
      </c>
      <c r="AB5" s="114"/>
      <c r="AC5" s="114">
        <f>'卡组计算'!D10</f>
      </c>
      <c r="AD5" s="114"/>
      <c r="AE5" s="114"/>
      <c r="AF5" s="114"/>
      <c r="AG5" s="114">
        <f>ROUNDUP(VLOOKUP(AC5,'第二属性比较'!A2:D1100,4,FALSE),0)</f>
      </c>
    </row>
    <row customHeight="true" ht="19" r="6">
      <c r="D6" s="3"/>
      <c r="E6" s="114">
        <f>'卡组计算'!D10</f>
      </c>
      <c r="F6" s="114"/>
      <c r="G6" s="114"/>
      <c r="H6" s="114"/>
      <c r="I6" s="114">
        <f>ROUNDUP(VLOOKUP(E6,'第二属性比较'!A2:D1100,4,FALSE),0)</f>
      </c>
      <c r="J6" s="3"/>
      <c r="K6" s="114">
        <f>'卡组计算'!D10</f>
      </c>
      <c r="L6" s="114"/>
      <c r="M6" s="114"/>
      <c r="N6" s="114"/>
      <c r="O6" s="114">
        <f>ROUNDUP(VLOOKUP(K6,'第二属性比较'!A2:D1100,4,FALSE),0)</f>
      </c>
      <c r="P6" s="3"/>
      <c r="Q6" s="114">
        <f>'卡组计算'!D7</f>
      </c>
      <c r="R6" s="114"/>
      <c r="S6" s="114"/>
      <c r="T6" s="114"/>
      <c r="U6" s="114">
        <f>ROUNDUP(VLOOKUP(Q6,'第一属性比较'!A2:D999,4,FALSE),0)</f>
      </c>
      <c r="V6" s="3"/>
      <c r="W6" s="114">
        <f>'卡组计算'!A18</f>
      </c>
      <c r="X6" s="114"/>
      <c r="Y6" s="114"/>
      <c r="Z6" s="114"/>
      <c r="AA6" s="114">
        <f>ROUNDUP(VLOOKUP(W6,'第三属性比较'!A2:D999,4,FALSE),0)</f>
      </c>
      <c r="AB6" s="114"/>
      <c r="AC6" s="114">
        <f>'卡组计算'!J11</f>
      </c>
      <c r="AD6" s="114"/>
      <c r="AE6" s="114"/>
      <c r="AF6" s="114"/>
      <c r="AG6" s="114">
        <f>ROUNDUP(VLOOKUP(AC6,'第二属性比较'!A2:D1100,4,FALSE),0)</f>
      </c>
    </row>
    <row customHeight="true" ht="19" r="7">
      <c r="D7" s="3"/>
      <c r="E7" s="114">
        <f>'卡组计算'!J11</f>
      </c>
      <c r="F7" s="114"/>
      <c r="G7" s="114"/>
      <c r="H7" s="114"/>
      <c r="I7" s="114">
        <f>ROUNDUP(VLOOKUP(E7,'第二属性比较'!A2:D1100,4,FALSE),0)</f>
      </c>
      <c r="J7" s="3"/>
      <c r="K7" s="114">
        <f>'卡组计算'!A18</f>
      </c>
      <c r="L7" s="114"/>
      <c r="M7" s="114"/>
      <c r="N7" s="114"/>
      <c r="O7" s="114">
        <f>ROUNDUP(VLOOKUP(K7,'第三属性比较'!A2:D999,4,FALSE),0)</f>
      </c>
      <c r="P7" s="3"/>
      <c r="Q7" s="114">
        <f>'卡组计算'!A18</f>
      </c>
      <c r="R7" s="114"/>
      <c r="S7" s="114"/>
      <c r="T7" s="114"/>
      <c r="U7" s="114">
        <f>ROUNDUP(VLOOKUP(Q7,'第三属性比较'!A2:D999,4,FALSE),0)</f>
      </c>
      <c r="V7" s="3"/>
      <c r="W7" s="114">
        <f>'卡组计算'!A19</f>
      </c>
      <c r="X7" s="114"/>
      <c r="Y7" s="114"/>
      <c r="Z7" s="114"/>
      <c r="AA7" s="114">
        <f>ROUNDUP(VLOOKUP(W7,'第三属性比较'!A2:D999,4,FALSE),0)</f>
      </c>
      <c r="AB7" s="114"/>
      <c r="AC7" s="114">
        <f>'卡组计算'!J12</f>
      </c>
      <c r="AD7" s="114"/>
      <c r="AE7" s="114"/>
      <c r="AF7" s="114"/>
      <c r="AG7" s="114">
        <f>ROUNDUP(VLOOKUP(AC7,'第二属性比较'!A2:D1100,4,FALSE),0)</f>
      </c>
    </row>
    <row customHeight="true" ht="19" r="8">
      <c r="D8" s="3"/>
      <c r="E8" s="3"/>
      <c r="F8" s="3"/>
      <c r="G8" s="3"/>
      <c r="H8" s="3"/>
      <c r="I8" s="3"/>
      <c r="J8" s="3"/>
      <c r="K8" s="3"/>
      <c r="L8" s="3"/>
      <c r="M8" s="3"/>
      <c r="N8" s="3"/>
      <c r="O8" s="3"/>
      <c r="P8" s="3"/>
      <c r="Q8" s="3"/>
      <c r="R8" s="3"/>
      <c r="S8" s="3"/>
      <c r="T8" s="3"/>
      <c r="U8" s="3"/>
      <c r="V8" s="3"/>
      <c r="W8" s="3"/>
      <c r="X8" s="3"/>
      <c r="Y8" s="3"/>
      <c r="Z8" s="3"/>
      <c r="AA8" s="3"/>
      <c r="AB8" s="3"/>
      <c r="AC8" s="3"/>
      <c r="AD8" s="3"/>
      <c r="AE8" s="3"/>
      <c r="AF8" s="3"/>
      <c r="AG8" s="3"/>
    </row>
    <row customHeight="true" ht="19" r="9">
      <c r="D9" s="3"/>
      <c r="E9" s="3"/>
      <c r="F9" s="3"/>
      <c r="G9" s="3"/>
      <c r="H9" s="3"/>
      <c r="I9" s="114" t="str">
        <v>差值</v>
      </c>
      <c r="J9" s="3"/>
      <c r="K9" s="3"/>
      <c r="L9" s="3"/>
      <c r="M9" s="3"/>
      <c r="N9" s="3"/>
      <c r="O9" s="114" t="str">
        <v>差值</v>
      </c>
      <c r="P9" s="3"/>
      <c r="Q9" s="3"/>
      <c r="R9" s="3"/>
      <c r="S9" s="3"/>
      <c r="T9" s="3"/>
      <c r="U9" s="114" t="str">
        <v>差值</v>
      </c>
      <c r="V9" s="3"/>
      <c r="W9" s="3"/>
      <c r="X9" s="3"/>
      <c r="Y9" s="3"/>
      <c r="Z9" s="3"/>
      <c r="AA9" s="114" t="str">
        <v>差值</v>
      </c>
      <c r="AB9" s="114"/>
      <c r="AC9" s="3"/>
      <c r="AD9" s="3"/>
      <c r="AE9" s="3"/>
      <c r="AF9" s="3"/>
      <c r="AG9" s="114" t="str">
        <v>差值</v>
      </c>
    </row>
    <row customHeight="true" ht="19" r="10">
      <c r="D10" s="114" t="str">
        <v>同卡替换</v>
      </c>
      <c r="E10" s="114">
        <f>"【借】"&amp;'卡组计算'!A6</f>
      </c>
      <c r="F10" s="3"/>
      <c r="G10" s="3"/>
      <c r="H10" s="3"/>
      <c r="I10" s="114">
        <f>ROUNDUP(VLOOKUP(E2,'第一属性比较'!A2:J999,10,FALSE),0)-I2</f>
      </c>
      <c r="J10" s="3"/>
      <c r="K10" s="114">
        <f>"【借】"&amp;'卡组计算'!A6</f>
      </c>
      <c r="L10" s="3"/>
      <c r="M10" s="3"/>
      <c r="N10" s="3"/>
      <c r="O10" s="114">
        <f>ROUNDUP(VLOOKUP(K2,'第一属性比较'!A2:J999,10,FALSE),0)-O2</f>
      </c>
      <c r="P10" s="3"/>
      <c r="Q10" s="114">
        <f>"【借】"&amp;'卡组计算'!A9</f>
      </c>
      <c r="R10" s="3"/>
      <c r="S10" s="3"/>
      <c r="T10" s="3"/>
      <c r="U10" s="114">
        <f>ROUNDUP(VLOOKUP(Q2,'第二属性比较'!A2:J1100,10,FALSE),0)-U2</f>
      </c>
      <c r="V10" s="3"/>
      <c r="W10" s="114">
        <f>"【借】"&amp;'卡组计算'!A6</f>
      </c>
      <c r="X10" s="3"/>
      <c r="Y10" s="3"/>
      <c r="Z10" s="3"/>
      <c r="AA10" s="114">
        <f>ROUNDUP(VLOOKUP(W2,'第一属性比较'!A2:J999,10,FALSE),0)-AA2</f>
      </c>
      <c r="AB10" s="114"/>
      <c r="AC10" s="114">
        <f>"【借】"&amp;AC2</f>
      </c>
      <c r="AD10" s="3"/>
      <c r="AE10" s="3"/>
      <c r="AF10" s="3"/>
      <c r="AG10" s="114">
        <f>ROUNDUP(VLOOKUP(AC2,'第一属性比较'!A2:J999,10,FALSE),0)-AG2</f>
      </c>
    </row>
    <row customHeight="true" ht="19" r="11">
      <c r="D11" s="3"/>
      <c r="E11" s="114">
        <f>"【借】"&amp;'卡组计算'!D7</f>
      </c>
      <c r="F11" s="3"/>
      <c r="G11" s="3"/>
      <c r="H11" s="3"/>
      <c r="I11" s="114">
        <f>ROUNDUP(VLOOKUP(E3,'第一属性比较'!A2:J999,10,FALSE),0)-I3</f>
      </c>
      <c r="J11" s="3"/>
      <c r="K11" s="114">
        <f>"【借】"&amp;'卡组计算'!D7</f>
      </c>
      <c r="L11" s="3"/>
      <c r="M11" s="3"/>
      <c r="N11" s="3"/>
      <c r="O11" s="114">
        <f>ROUNDUP(VLOOKUP(K3,'第一属性比较'!A2:J999,10,FALSE),0)-O3</f>
      </c>
      <c r="P11" s="3"/>
      <c r="Q11" s="114">
        <f>"【借】"&amp;'卡组计算'!D10</f>
      </c>
      <c r="R11" s="3"/>
      <c r="S11" s="3"/>
      <c r="T11" s="3"/>
      <c r="U11" s="114">
        <f>ROUNDUP(VLOOKUP(Q3,'第二属性比较'!A2:J1100,10,FALSE),0)-U3</f>
      </c>
      <c r="V11" s="3"/>
      <c r="W11" s="114">
        <f>"【借】"&amp;'卡组计算'!D7</f>
      </c>
      <c r="X11" s="3"/>
      <c r="Y11" s="3"/>
      <c r="Z11" s="3"/>
      <c r="AA11" s="114">
        <f>ROUNDUP(VLOOKUP(W3,'第一属性比较'!A2:J999,10,FALSE),0)-AA3</f>
      </c>
      <c r="AB11" s="114"/>
      <c r="AC11" s="114">
        <f>"【借】"&amp;AC3</f>
      </c>
      <c r="AD11" s="3"/>
      <c r="AE11" s="3"/>
      <c r="AF11" s="3"/>
      <c r="AG11" s="114">
        <f>ROUNDUP(VLOOKUP(AC3,'第一属性比较'!A2:J999,10,FALSE),0)-AG3</f>
      </c>
    </row>
    <row customHeight="true" ht="19" r="12">
      <c r="D12" s="3"/>
      <c r="E12" s="114">
        <f>"【借】"&amp;'卡组计算'!J8</f>
      </c>
      <c r="F12" s="3"/>
      <c r="G12" s="3"/>
      <c r="H12" s="3"/>
      <c r="I12" s="114">
        <f>ROUNDUP(VLOOKUP(E4,'第一属性比较'!A2:J999,10,FALSE),0)-I4</f>
      </c>
      <c r="J12" s="3"/>
      <c r="K12" s="114">
        <f>"【借】"&amp;'卡组计算'!J8</f>
      </c>
      <c r="L12" s="3"/>
      <c r="M12" s="3"/>
      <c r="N12" s="3"/>
      <c r="O12" s="114">
        <f>ROUNDUP(VLOOKUP(K4,'第一属性比较'!A2:J999,10,FALSE),0)-O4</f>
      </c>
      <c r="P12" s="3"/>
      <c r="Q12" s="114">
        <f>"【借】"&amp;'卡组计算'!J11</f>
      </c>
      <c r="R12" s="3"/>
      <c r="S12" s="3"/>
      <c r="T12" s="3"/>
      <c r="U12" s="114">
        <f>ROUNDUP(VLOOKUP(Q4,'第二属性比较'!A2:J1100,10,FALSE),0)-U4</f>
      </c>
      <c r="V12" s="3"/>
      <c r="W12" s="114">
        <f>"【借】"&amp;'卡组计算'!A9</f>
      </c>
      <c r="X12" s="3"/>
      <c r="Y12" s="3"/>
      <c r="Z12" s="3"/>
      <c r="AA12" s="114">
        <f>ROUNDUP(VLOOKUP(W4,'第二属性比较'!A2:J1100,10,FALSE),0)-AA4</f>
      </c>
      <c r="AB12" s="114"/>
      <c r="AC12" s="124">
        <f>"【借】"&amp;AC4</f>
      </c>
      <c r="AD12" s="3"/>
      <c r="AE12" s="3"/>
      <c r="AF12" s="3"/>
      <c r="AG12" s="114">
        <f>ROUNDUP(VLOOKUP(AC4,'第二属性比较'!A2:J1100,10,FALSE),0)-AG4</f>
      </c>
    </row>
    <row customHeight="true" ht="19" r="13">
      <c r="D13" s="3"/>
      <c r="E13" s="114">
        <f>"【借】"&amp;'卡组计算'!A9</f>
      </c>
      <c r="F13" s="3"/>
      <c r="G13" s="3"/>
      <c r="H13" s="3"/>
      <c r="I13" s="114">
        <f>ROUNDUP(VLOOKUP(E5,'第二属性比较'!A2:J1100,10,FALSE),0)-I5</f>
      </c>
      <c r="J13" s="3"/>
      <c r="K13" s="114">
        <f>"【借】"&amp;'卡组计算'!A9</f>
      </c>
      <c r="L13" s="3"/>
      <c r="M13" s="3"/>
      <c r="N13" s="3"/>
      <c r="O13" s="114">
        <f>ROUNDUP(VLOOKUP(K5,'第二属性比较'!A2:J1100,10,FALSE),0)-O5</f>
      </c>
      <c r="P13" s="3"/>
      <c r="Q13" s="114">
        <f>"【借】"&amp;'卡组计算'!A6</f>
      </c>
      <c r="R13" s="3"/>
      <c r="S13" s="3"/>
      <c r="T13" s="3"/>
      <c r="U13" s="114">
        <f>ROUNDUP(VLOOKUP(Q5,'第一属性比较'!A2:J999,10,FALSE),0)-U5</f>
      </c>
      <c r="V13" s="3"/>
      <c r="W13" s="114">
        <f>"【借】"&amp;'卡组计算'!D10</f>
      </c>
      <c r="X13" s="3"/>
      <c r="Y13" s="3"/>
      <c r="Z13" s="3"/>
      <c r="AA13" s="114">
        <f>ROUNDUP(VLOOKUP(W5,'第二属性比较'!A2:J1100,10,FALSE),0)-AA5</f>
      </c>
      <c r="AB13" s="114"/>
      <c r="AC13" s="114">
        <f>"【借】"&amp;AC5</f>
      </c>
      <c r="AD13" s="3"/>
      <c r="AE13" s="3"/>
      <c r="AF13" s="3"/>
      <c r="AG13" s="114">
        <f>ROUNDUP(VLOOKUP(AC5,'第二属性比较'!A2:J1100,10,FALSE),0)-AG5</f>
      </c>
    </row>
    <row customHeight="true" ht="19" r="14">
      <c r="D14" s="3"/>
      <c r="E14" s="114">
        <f>"【借】"&amp;'卡组计算'!D10</f>
      </c>
      <c r="F14" s="3"/>
      <c r="G14" s="3"/>
      <c r="H14" s="3"/>
      <c r="I14" s="114">
        <f>ROUNDUP(VLOOKUP(E6,'第二属性比较'!A2:J1100,10,FALSE),0)-I6</f>
      </c>
      <c r="J14" s="3"/>
      <c r="K14" s="114">
        <f>"【借】"&amp;'卡组计算'!D10</f>
      </c>
      <c r="L14" s="3"/>
      <c r="M14" s="3"/>
      <c r="N14" s="3"/>
      <c r="O14" s="114">
        <f>ROUNDUP(VLOOKUP(K6,'第二属性比较'!A2:J1100,10,FALSE),0)-O6</f>
      </c>
      <c r="P14" s="3"/>
      <c r="Q14" s="114">
        <f>"【借】"&amp;'卡组计算'!D7</f>
      </c>
      <c r="R14" s="3"/>
      <c r="S14" s="3"/>
      <c r="T14" s="3"/>
      <c r="U14" s="114">
        <f>ROUNDUP(VLOOKUP(Q6,'第一属性比较'!A2:J999,10,FALSE),0)-U6</f>
      </c>
      <c r="V14" s="3"/>
      <c r="W14" s="114">
        <f>"【借】"&amp;'卡组计算'!A18</f>
      </c>
      <c r="X14" s="3"/>
      <c r="Y14" s="3"/>
      <c r="Z14" s="3"/>
      <c r="AA14" s="114">
        <f>ROUNDUP(VLOOKUP(W6,'第三属性比较'!A2:J999,10,FALSE),0)-AA6</f>
      </c>
      <c r="AB14" s="114"/>
      <c r="AC14" s="114">
        <f>"【借】"&amp;AC6</f>
      </c>
      <c r="AD14" s="3"/>
      <c r="AE14" s="3"/>
      <c r="AF14" s="3"/>
      <c r="AG14" s="114">
        <f>ROUNDUP(VLOOKUP(AC6,'第二属性比较'!A2:J1100,10,FALSE),0)-AG6</f>
      </c>
    </row>
    <row customHeight="true" ht="19" r="15">
      <c r="D15" s="3"/>
      <c r="E15" s="114">
        <f>"【借】"&amp;'卡组计算'!J11</f>
      </c>
      <c r="F15" s="3"/>
      <c r="G15" s="3"/>
      <c r="H15" s="3"/>
      <c r="I15" s="114">
        <f>ROUNDUP(VLOOKUP(E7,'第二属性比较'!A2:J1100,10,FALSE),0)-I7</f>
      </c>
      <c r="J15" s="3"/>
      <c r="K15" s="114">
        <f>"【借】"&amp;'卡组计算'!A18</f>
      </c>
      <c r="L15" s="3"/>
      <c r="M15" s="3"/>
      <c r="N15" s="3"/>
      <c r="O15" s="114">
        <f>ROUNDUP(VLOOKUP(K7,'第三属性比较'!A2:J999,10,FALSE),0)-O7</f>
      </c>
      <c r="P15" s="3"/>
      <c r="Q15" s="114">
        <f>"【借】"&amp;'卡组计算'!A18</f>
      </c>
      <c r="R15" s="3"/>
      <c r="S15" s="3"/>
      <c r="T15" s="3"/>
      <c r="U15" s="114">
        <f>ROUNDUP(VLOOKUP(Q7,'第三属性比较'!A2:J999,10,FALSE),0)-U7</f>
      </c>
      <c r="V15" s="3"/>
      <c r="W15" s="114">
        <f>"【借】"&amp;'卡组计算'!A19</f>
      </c>
      <c r="X15" s="3"/>
      <c r="Y15" s="3"/>
      <c r="Z15" s="3"/>
      <c r="AA15" s="114">
        <f>ROUNDUP(VLOOKUP(W7,'第三属性比较'!A2:J999,10,FALSE),0)-AA7</f>
      </c>
      <c r="AB15" s="114"/>
      <c r="AC15" s="114">
        <f>"【借】"&amp;AC7</f>
      </c>
      <c r="AD15" s="3"/>
      <c r="AE15" s="3"/>
      <c r="AF15" s="3"/>
      <c r="AG15" s="114">
        <f>ROUNDUP(VLOOKUP(AC7,'第二属性比较'!A2:J1100,10,FALSE),0)-AG7</f>
      </c>
    </row>
    <row customHeight="true" ht="19" r="16">
      <c r="D16" s="114" t="str">
        <v>最高值卡</v>
      </c>
      <c r="E16" s="124">
        <f>IF('路线'!B1="红",IF('路线'!C2&gt;=1,"【借】"&amp;'卡组计算'!M10,"【借】"&amp;'卡组计算'!P10),IF('路线'!B1="蓝",IF('路线'!C3&gt;=1,"【借】"&amp;'卡组计算'!M10,"【借】"&amp;'卡组计算'!P10),IF('路线'!C4&gt;=1,"【借】"&amp;'卡组计算'!M10,"【借】"&amp;'卡组计算'!P10)))</f>
      </c>
      <c r="F16" s="3"/>
      <c r="G16" s="3"/>
      <c r="H16" s="3"/>
      <c r="I16" s="114">
        <f>ROUNDUP(VLOOKUP(MID(E16,4,LEN(E16)),'第一属性比较'!A2:J999,10,FALSE),0)-I2</f>
      </c>
      <c r="J16" s="3"/>
      <c r="K16" s="124">
        <f>IF('路线'!B1="红",IF('路线'!C2&gt;=1,"【借】"&amp;'卡组计算'!M10,"【借】"&amp;'卡组计算'!P10),IF('路线'!B1="蓝",IF('路线'!C3&gt;=1,"【借】"&amp;'卡组计算'!M10,"【借】"&amp;'卡组计算'!P10),IF('路线'!C4&gt;=1,"【借】"&amp;'卡组计算'!M10,"【借】"&amp;'卡组计算'!P10)))</f>
      </c>
      <c r="L16" s="3"/>
      <c r="M16" s="3"/>
      <c r="N16" s="3"/>
      <c r="O16" s="114">
        <f>ROUNDUP(VLOOKUP(MID(K16,4,LEN(K16)),'第一属性比较'!A2:J999,10,FALSE),0)-O2</f>
      </c>
      <c r="P16" s="3"/>
      <c r="Q16" s="114">
        <f>IF('路线'!B2="红",IF('路线'!C2&gt;=1,"【借】"&amp;'卡组计算'!M16,"【借】"&amp;'卡组计算'!P16),IF('路线'!B2="蓝",IF('路线'!C3&gt;=1,"【借】"&amp;'卡组计算'!M16,"【借】"&amp;'卡组计算'!P16),IF('路线'!C4&gt;=1,"【借】"&amp;'卡组计算'!M16,"【借】"&amp;'卡组计算'!P16)))</f>
      </c>
      <c r="R16" s="3"/>
      <c r="S16" s="3"/>
      <c r="T16" s="3"/>
      <c r="U16" s="114">
        <f>ROUNDUP(VLOOKUP(MID(Q16,4,LEN(Q16)),'第二属性比较'!A2:J1100,10,FALSE),0)-U2</f>
      </c>
      <c r="V16" s="3"/>
      <c r="W16" s="124">
        <f>IF('路线'!B1="红",IF('路线'!C2&gt;=1,"【借】"&amp;'卡组计算'!M10,"【借】"&amp;'卡组计算'!P10),IF('路线'!B1="蓝",IF('路线'!C3&gt;=1,"【借】"&amp;'卡组计算'!M10,"【借】"&amp;'卡组计算'!P10),IF('路线'!C4&gt;=1,"【借】"&amp;'卡组计算'!M10,"【借】"&amp;'卡组计算'!P10)))</f>
      </c>
      <c r="X16" s="3"/>
      <c r="Y16" s="3"/>
      <c r="Z16" s="3"/>
      <c r="AA16" s="114">
        <f>ROUNDUP(VLOOKUP(MID(W16,4,LEN(W16)),'第一属性比较'!A2:PJ999,10,FALSE),0)-AA2</f>
      </c>
      <c r="AB16" s="114"/>
      <c r="AC16" s="114">
        <f>IF('路线'!B1="红",IF('路线'!C2&gt;=1,"【借】"&amp;'卡组计算'!M10,"【借】"&amp;'卡组计算'!P10),IF('路线'!B1="蓝",IF('路线'!C3&gt;=1,"【借】"&amp;'卡组计算'!M10,"【借】"&amp;'卡组计算'!P10),IF('路线'!C4&gt;=1,"【借】"&amp;'卡组计算'!M10,"【借】"&amp;'卡组计算'!P10)))</f>
      </c>
      <c r="AD16" s="3"/>
      <c r="AE16" s="3"/>
      <c r="AF16" s="3"/>
      <c r="AG16" s="114">
        <f>ROUNDUP(VLOOKUP(MID(AC16,4,LEN(AC16)),'第一属性比较'!A2:PJ999,10,FALSE),0)-AG2</f>
      </c>
    </row>
    <row customHeight="true" ht="19" r="17">
      <c r="D17" s="3"/>
      <c r="E17" s="114">
        <f>IF('路线'!B1="红",IF('路线'!C2&gt;=2,"【借】"&amp;'卡组计算'!M10,"【借】"&amp;'卡组计算'!P10),IF('路线'!B1="蓝",IF('路线'!C3&gt;=2,"【借】"&amp;'卡组计算'!M10,"【借】"&amp;'卡组计算'!P10),IF('路线'!C4&gt;=2,"【借】"&amp;'卡组计算'!M10,"【借】"&amp;'卡组计算'!P10)))</f>
      </c>
      <c r="F17" s="3"/>
      <c r="G17" s="3"/>
      <c r="H17" s="3"/>
      <c r="I17" s="114">
        <f>ROUNDUP(VLOOKUP(MID(E17,4,LEN(E17)),'第一属性比较'!A2:J999,10,FALSE),0)-I3</f>
      </c>
      <c r="J17" s="3"/>
      <c r="K17" s="114">
        <f>IF('路线'!B1="红",IF('路线'!C2&gt;=2,"【借】"&amp;'卡组计算'!M10,"【借】"&amp;'卡组计算'!P10),IF('路线'!B1="蓝",IF('路线'!C3&gt;=2,"【借】"&amp;'卡组计算'!M10,"【借】"&amp;'卡组计算'!P10),IF('路线'!C4&gt;=2,"【借】"&amp;'卡组计算'!M10,"【借】"&amp;'卡组计算'!P10)))</f>
      </c>
      <c r="L17" s="3"/>
      <c r="M17" s="3"/>
      <c r="N17" s="3"/>
      <c r="O17" s="114">
        <f>ROUNDUP(VLOOKUP(MID(K17,4,LEN(K17)),'第一属性比较'!A2:J999,10,FALSE),0)-O3</f>
      </c>
      <c r="P17" s="3"/>
      <c r="Q17" s="114">
        <f>IF('路线'!B2="红",IF('路线'!C2&gt;=2,"【借】"&amp;'卡组计算'!M16,"【借】"&amp;'卡组计算'!P16),IF('路线'!B2="蓝",IF('路线'!C3&gt;=2,"【借】"&amp;'卡组计算'!M16,"【借】"&amp;'卡组计算'!P16),IF('路线'!C4&gt;=2,"【借】"&amp;'卡组计算'!M16,"【借】"&amp;'卡组计算'!P16)))</f>
      </c>
      <c r="R17" s="3"/>
      <c r="S17" s="3"/>
      <c r="T17" s="3"/>
      <c r="U17" s="114">
        <f>ROUNDUP(VLOOKUP(MID(Q17,4,LEN(Q17)),'第二属性比较'!A2:J1100,10,FALSE),0)-U3</f>
      </c>
      <c r="V17" s="3"/>
      <c r="W17" s="114">
        <f>IF('路线'!B1="红",IF('路线'!C2&gt;=2,"【借】"&amp;'卡组计算'!M10,"【借】"&amp;'卡组计算'!P10),IF('路线'!B1="蓝",IF('路线'!C3&gt;=2,"【借】"&amp;'卡组计算'!M10,"【借】"&amp;'卡组计算'!P10),IF('路线'!C4&gt;=2,"【借】"&amp;'卡组计算'!M10,"【借】"&amp;'卡组计算'!P10)))</f>
      </c>
      <c r="X17" s="3"/>
      <c r="Y17" s="3"/>
      <c r="Z17" s="3"/>
      <c r="AA17" s="114">
        <f>ROUNDUP(VLOOKUP(MID(W17,4,LEN(W17)),'第一属性比较'!A2:J999,10,FALSE),0)-AA3</f>
      </c>
      <c r="AB17" s="114"/>
      <c r="AC17" s="114">
        <f>IF('路线'!B1="红",IF('路线'!C2&gt;=2,"【借】"&amp;'卡组计算'!M10,"【借】"&amp;'卡组计算'!P10),IF('路线'!B1="蓝",IF('路线'!C3&gt;=2,"【借】"&amp;'卡组计算'!M10,"【借】"&amp;'卡组计算'!P10),IF('路线'!C4&gt;=2,"【借】"&amp;'卡组计算'!M10,"【借】"&amp;'卡组计算'!P10)))</f>
      </c>
      <c r="AD17" s="3"/>
      <c r="AE17" s="3"/>
      <c r="AF17" s="3"/>
      <c r="AG17" s="114">
        <f>ROUNDUP(VLOOKUP(MID(AC17,4,LEN(AC17)),'第一属性比较'!A2:PJ999,10,FALSE),0)-AG3</f>
      </c>
    </row>
    <row customHeight="true" ht="19" r="18">
      <c r="D18" s="3"/>
      <c r="E18" s="114">
        <f>IF('路线'!B1="红",IF('路线'!C2&gt;=3,"【借】"&amp;'卡组计算'!M10,"【借】"&amp;'卡组计算'!P10),IF('路线'!B1="蓝",IF('路线'!C3&gt;=3,"【借】"&amp;'卡组计算'!M10,"【借】"&amp;'卡组计算'!P10),IF('路线'!C4&gt;=3,"【借】"&amp;'卡组计算'!M10,"【借】"&amp;'卡组计算'!P10)))</f>
      </c>
      <c r="F18" s="3"/>
      <c r="G18" s="3"/>
      <c r="H18" s="3"/>
      <c r="I18" s="114">
        <f>ROUNDUP(VLOOKUP(MID(E18,4,LEN(E18)),'第一属性比较'!A2:J999,10,FALSE),0)-I4</f>
      </c>
      <c r="J18" s="3"/>
      <c r="K18" s="114">
        <f>IF('路线'!B1="红",IF('路线'!C2&gt;=3,"【借】"&amp;'卡组计算'!M10,"【借】"&amp;'卡组计算'!P10),IF('路线'!B1="蓝",IF('路线'!C3&gt;=3,"【借】"&amp;'卡组计算'!M10,"【借】"&amp;'卡组计算'!P10),IF('路线'!C4&gt;=3,"【借】"&amp;'卡组计算'!M10,"【借】"&amp;'卡组计算'!P10)))</f>
      </c>
      <c r="L18" s="3"/>
      <c r="M18" s="3"/>
      <c r="N18" s="3"/>
      <c r="O18" s="114">
        <f>ROUNDUP(VLOOKUP(MID(K18,4,LEN(K18)),'第一属性比较'!A2:J999,10,FALSE),0)-O4</f>
      </c>
      <c r="P18" s="3"/>
      <c r="Q18" s="114">
        <f>IF('路线'!B2="红",IF('路线'!C2&gt;=3,"【借】"&amp;'卡组计算'!M16,"【借】"&amp;'卡组计算'!P16),IF('路线'!B2="蓝",IF('路线'!C3&gt;=3,"【借】"&amp;'卡组计算'!M16,"【借】"&amp;'卡组计算'!P16),IF('路线'!C4&gt;=3,"【借】"&amp;'卡组计算'!M16,"【借】"&amp;'卡组计算'!P16)))</f>
      </c>
      <c r="R18" s="3"/>
      <c r="S18" s="3"/>
      <c r="T18" s="3"/>
      <c r="U18" s="114">
        <f>ROUNDUP(VLOOKUP(MID(Q18,4,LEN(Q18)),'第二属性比较'!A2:J1100,10,FALSE),0)-U4</f>
      </c>
      <c r="V18" s="3"/>
      <c r="W18" s="114">
        <f>IF('路线'!B2="红",IF('路线'!C2&gt;=1,"【借】"&amp;'卡组计算'!M16,"【借】"&amp;'卡组计算'!P16),IF('路线'!B2="蓝",IF('路线'!C3&gt;=1,"【借】"&amp;'卡组计算'!M16,"【借】"&amp;'卡组计算'!P16),IF('路线'!C4&gt;=1,"【借】"&amp;'卡组计算'!M16,"【借】"&amp;'卡组计算'!P16)))</f>
      </c>
      <c r="X18" s="3"/>
      <c r="Y18" s="3"/>
      <c r="Z18" s="3"/>
      <c r="AA18" s="114">
        <f>ROUNDUP(VLOOKUP(MID(W18,4,LEN(W18)),'第二属性比较'!A2:J1100,10,FALSE),0)-AA4</f>
      </c>
      <c r="AB18" s="114"/>
      <c r="AC18" s="114">
        <f>IF('路线'!B2="红",IF('路线'!C2&gt;=1,"【借】"&amp;'卡组计算'!M16,"【借】"&amp;'卡组计算'!P17),IF('路线'!B2="蓝",IF('路线'!C3&gt;=1,"【借】"&amp;'卡组计算'!M16,"【借】"&amp;'卡组计算'!P17),IF('路线'!C4&gt;=1,"【借】"&amp;'卡组计算'!M16,"【借】"&amp;'卡组计算'!P17)))</f>
      </c>
      <c r="AD18" s="3"/>
      <c r="AE18" s="3"/>
      <c r="AF18" s="3"/>
      <c r="AG18" s="114">
        <f>ROUNDUP(VLOOKUP(MID(AC18,4,LEN(AC18)),'第二属性比较'!A2:J1100,10,FALSE),0)-AG4</f>
      </c>
    </row>
    <row customHeight="true" ht="19" r="19">
      <c r="D19" s="3"/>
      <c r="E19" s="114">
        <f>IF('路线'!B2="红",IF('路线'!C2&gt;=1,"【借】"&amp;'卡组计算'!M16,"【借】"&amp;'卡组计算'!P16),IF('路线'!B2="蓝",IF('路线'!C3&gt;=1,"【借】"&amp;'卡组计算'!M16,"【借】"&amp;'卡组计算'!P16),IF('路线'!C4&gt;=1,"【借】"&amp;'卡组计算'!M16,"【借】"&amp;'卡组计算'!P16)))</f>
      </c>
      <c r="F19" s="3"/>
      <c r="G19" s="3"/>
      <c r="H19" s="3"/>
      <c r="I19" s="114">
        <f>ROUNDUP(VLOOKUP(MID(E19,4,LEN(E19)),'第二属性比较'!A2:J1100,10,FALSE),0)-I5</f>
      </c>
      <c r="J19" s="3"/>
      <c r="K19" s="114">
        <f>IF('路线'!B2="红",IF('路线'!C2&gt;=1,"【借】"&amp;'卡组计算'!M16,"【借】"&amp;'卡组计算'!P16),IF('路线'!B2="蓝",IF('路线'!C3&gt;=1,"【借】"&amp;'卡组计算'!M16,"【借】"&amp;'卡组计算'!P16),IF('路线'!C4&gt;=1,"【借】"&amp;'卡组计算'!M16,"【借】"&amp;'卡组计算'!P16)))</f>
      </c>
      <c r="L19" s="3"/>
      <c r="M19" s="3"/>
      <c r="N19" s="3"/>
      <c r="O19" s="114">
        <f>ROUNDUP(VLOOKUP(MID(K19,4,LEN(K19)),'第二属性比较'!A2:PJ1100,10,FALSE),0)-O5</f>
      </c>
      <c r="P19" s="3"/>
      <c r="Q19" s="124">
        <f>IF('路线'!B1="红",IF('路线'!C2&gt;=1,"【借】"&amp;'卡组计算'!M10,"【借】"&amp;'卡组计算'!P10),IF('路线'!B1="蓝",IF('路线'!C3&gt;=1,"【借】"&amp;'卡组计算'!M10,"【借】"&amp;'卡组计算'!P10),IF('路线'!C4&gt;=1,"【借】"&amp;'卡组计算'!M10,"【借】"&amp;'卡组计算'!P10)))</f>
      </c>
      <c r="R19" s="3"/>
      <c r="S19" s="3"/>
      <c r="T19" s="3"/>
      <c r="U19" s="114">
        <f>ROUNDUP(VLOOKUP(MID(Q19,4,LEN(Q19)),'第一属性比较'!A2:J999,10,FALSE),0)-U5</f>
      </c>
      <c r="V19" s="3"/>
      <c r="W19" s="114">
        <f>IF('路线'!B2="红",IF('路线'!C2&gt;=2,"【借】"&amp;'卡组计算'!M16,"【借】"&amp;'卡组计算'!P16),IF('路线'!B2="蓝",IF('路线'!C3&gt;=2,"【借】"&amp;'卡组计算'!M16,"【借】"&amp;'卡组计算'!P16),IF('路线'!C4&gt;=2,"【借】"&amp;'卡组计算'!M16,"【借】"&amp;'卡组计算'!P16)))</f>
      </c>
      <c r="X19" s="3"/>
      <c r="Y19" s="3"/>
      <c r="Z19" s="3"/>
      <c r="AA19" s="114">
        <f>ROUNDUP(VLOOKUP(MID(W19,4,LEN(W19)),'第二属性比较'!A2:J1100,10,FALSE),0)-AA5</f>
      </c>
      <c r="AB19" s="114"/>
      <c r="AC19" s="114">
        <f>IF('路线'!B2="红",IF('路线'!C2&gt;=2,"【借】"&amp;'卡组计算'!M16,"【借】"&amp;'卡组计算'!P17),IF('路线'!B2="蓝",IF('路线'!C3&gt;=2,"【借】"&amp;'卡组计算'!M16,"【借】"&amp;'卡组计算'!P17),IF('路线'!C4&gt;=2,"【借】"&amp;'卡组计算'!M16,"【借】"&amp;'卡组计算'!P17)))</f>
      </c>
      <c r="AD19" s="3"/>
      <c r="AE19" s="3"/>
      <c r="AF19" s="3"/>
      <c r="AG19" s="114">
        <f>ROUNDUP(VLOOKUP(MID(AC19,4,LEN(AC19)),'第二属性比较'!A2:J1100,10,FALSE),0)-AG5</f>
      </c>
    </row>
    <row customHeight="true" ht="19" r="20">
      <c r="D20" s="3"/>
      <c r="E20" s="114">
        <f>IF('路线'!B2="红",IF('路线'!C2&gt;=2,"【借】"&amp;'卡组计算'!M16,"【借】"&amp;'卡组计算'!P16),IF('路线'!B2="蓝",IF('路线'!C3&gt;=2,"【借】"&amp;'卡组计算'!M16,"【借】"&amp;'卡组计算'!P16),IF('路线'!C4&gt;=2,"【借】"&amp;'卡组计算'!M16,"【借】"&amp;'卡组计算'!P16)))</f>
      </c>
      <c r="F20" s="3"/>
      <c r="G20" s="3"/>
      <c r="H20" s="3"/>
      <c r="I20" s="114">
        <f>ROUNDUP(VLOOKUP(MID(E20,4,LEN(E20)),'第二属性比较'!A2:J1100,10,FALSE),0)-I6</f>
      </c>
      <c r="J20" s="3"/>
      <c r="K20" s="114">
        <f>IF('路线'!B2="红",IF('路线'!C2&gt;=2,"【借】"&amp;'卡组计算'!M16,"【借】"&amp;'卡组计算'!P16),IF('路线'!B2="蓝",IF('路线'!C3&gt;=2,"【借】"&amp;'卡组计算'!M16,"【借】"&amp;'卡组计算'!P16),IF('路线'!C4&gt;=2,"【借】"&amp;'卡组计算'!M16,"【借】"&amp;'卡组计算'!P16)))</f>
      </c>
      <c r="L20" s="3"/>
      <c r="M20" s="3"/>
      <c r="N20" s="3"/>
      <c r="O20" s="114">
        <f>ROUNDUP(VLOOKUP(MID(K20,4,LEN(K20)),'第二属性比较'!A2:J1100,10,FALSE),0)-O6</f>
      </c>
      <c r="P20" s="3"/>
      <c r="Q20" s="114">
        <f>IF('路线'!B1="红",IF('路线'!C2&gt;=2,"【借】"&amp;'卡组计算'!M10,"【借】"&amp;'卡组计算'!P10),IF('路线'!B1="蓝",IF('路线'!C3&gt;=2,"【借】"&amp;'卡组计算'!M10,"【借】"&amp;'卡组计算'!P10),IF('路线'!C4&gt;=2,"【借】"&amp;'卡组计算'!M10,"【借】"&amp;'卡组计算'!P10)))</f>
      </c>
      <c r="R20" s="3"/>
      <c r="S20" s="3"/>
      <c r="T20" s="3"/>
      <c r="U20" s="114">
        <f>ROUNDUP(VLOOKUP(MID(Q20,4,LEN(Q20)),'第一属性比较'!A2:J999,10,FALSE),0)-U6</f>
      </c>
      <c r="V20" s="3"/>
      <c r="W20" s="114">
        <f>"【借】"&amp;'卡组计算'!D21</f>
      </c>
      <c r="X20" s="3"/>
      <c r="Y20" s="3"/>
      <c r="Z20" s="3"/>
      <c r="AA20" s="114">
        <f>ROUNDUP(VLOOKUP(MID(W20,4,LEN(W20)),'第三属性比较'!A2:J999,10,FALSE),0)-AA6</f>
      </c>
      <c r="AB20" s="114"/>
      <c r="AC20" s="114">
        <f>IF('路线'!B2="红",IF('路线'!C2&gt;=3,"【借】"&amp;'卡组计算'!M16,"【借】"&amp;'卡组计算'!P17),IF('路线'!B2="蓝",IF('路线'!C3&gt;=3,"【借】"&amp;'卡组计算'!M16,"【借】"&amp;'卡组计算'!P17),IF('路线'!C4&gt;=3,"【借】"&amp;'卡组计算'!M16,"【借】"&amp;'卡组计算'!P17)))</f>
      </c>
      <c r="AD20" s="3"/>
      <c r="AE20" s="3"/>
      <c r="AF20" s="3"/>
      <c r="AG20" s="114">
        <f>ROUNDUP(VLOOKUP(MID(AC20,4,LEN(AC20)),'第二属性比较'!A2:J1100,10,FALSE),0)-AG6</f>
      </c>
    </row>
    <row customHeight="true" ht="19" r="21">
      <c r="D21" s="3"/>
      <c r="E21" s="114">
        <f>IF('路线'!B2="红",IF('路线'!C2&gt;=3,"【借】"&amp;'卡组计算'!M16,"【借】"&amp;'卡组计算'!P16),IF('路线'!B2="蓝",IF('路线'!C3&gt;=3,"【借】"&amp;'卡组计算'!M16,"【借】"&amp;'卡组计算'!P16),IF('路线'!C4&gt;=3,"【借】"&amp;'卡组计算'!M16,"【借】"&amp;'卡组计算'!P16)))</f>
      </c>
      <c r="F21" s="3"/>
      <c r="G21" s="3"/>
      <c r="H21" s="3"/>
      <c r="I21" s="114">
        <f>ROUNDUP(VLOOKUP(MID(E21,4,LEN(E21)),'第二属性比较'!A2:J1100,10,FALSE),0)-I7</f>
      </c>
      <c r="J21" s="3"/>
      <c r="K21" s="114">
        <f>"【借】"&amp;'卡组计算'!D20</f>
      </c>
      <c r="L21" s="3"/>
      <c r="M21" s="3"/>
      <c r="N21" s="3"/>
      <c r="O21" s="114">
        <f>ROUNDUP(VLOOKUP(MID(K21,4,LEN(K21)),'第三属性比较'!A2:J999,10,FALSE),0)-O7</f>
      </c>
      <c r="P21" s="3"/>
      <c r="Q21" s="114">
        <f>"【借】"&amp;'卡组计算'!D20</f>
      </c>
      <c r="R21" s="3"/>
      <c r="S21" s="3"/>
      <c r="T21" s="3"/>
      <c r="U21" s="114">
        <f>ROUNDUP(VLOOKUP(MID(Q21,4,LEN(Q21)),'第三属性比较'!A2:J999,10,FALSE),0)-U7</f>
      </c>
      <c r="V21" s="3"/>
      <c r="W21" s="114">
        <f>"【借】"&amp;'卡组计算'!D21</f>
      </c>
      <c r="X21" s="3"/>
      <c r="Y21" s="3"/>
      <c r="Z21" s="3"/>
      <c r="AA21" s="114">
        <f>ROUNDUP(VLOOKUP(MID(W21,4,LEN(W21)),'第三属性比较'!A2:J999,10,FALSE),0)-AA7</f>
      </c>
      <c r="AB21" s="114"/>
      <c r="AC21" s="114">
        <f>"【借】"&amp;'卡组计算'!P17</f>
      </c>
      <c r="AD21" s="3"/>
      <c r="AE21" s="3"/>
      <c r="AF21" s="3"/>
      <c r="AG21" s="114">
        <f>ROUNDUP(VLOOKUP(MID(AC21,4,LEN(AC21)),'第二属性比较'!A2:J1100,10,FALSE),0)-AG7</f>
      </c>
    </row>
    <row customHeight="true" ht="19" r="22">
      <c r="D22" s="114" t="str">
        <v>最终借卡</v>
      </c>
      <c r="E22" s="114">
        <f t="array" ref="E22:E22">INDEX(E10:E21,MATCH(MAX(I10:I21),I10:I21,0))</f>
      </c>
      <c r="F22" s="3"/>
      <c r="G22" s="3"/>
      <c r="H22" s="3"/>
      <c r="I22" s="114">
        <f>MATCH(MAX(I10:I21),I10:I21,0)+ROW(E10)-10</f>
      </c>
      <c r="J22" s="3"/>
      <c r="K22" s="114">
        <f t="array" ref="K22:K22">INDEX(K10:K21,MATCH(MAX(O10:O21),O10:O21,0))</f>
      </c>
      <c r="L22" s="3"/>
      <c r="M22" s="3"/>
      <c r="N22" s="3"/>
      <c r="O22" s="114">
        <f>MATCH(MAX(O10:O21),O10:O21,0)+ROW(K10)-10</f>
      </c>
      <c r="P22" s="3"/>
      <c r="Q22" s="114">
        <f t="array" ref="Q22:Q22">INDEX(Q10:Q21,MATCH(MAX(U10:U21),U10:U21,0))</f>
      </c>
      <c r="R22" s="3"/>
      <c r="S22" s="3"/>
      <c r="T22" s="3"/>
      <c r="U22" s="114">
        <f>MATCH(MAX(U10:U21),U10:U21,0)+ROW(Q10)-10</f>
      </c>
      <c r="V22" s="3"/>
      <c r="W22" s="114">
        <f t="array" ref="W22:W22">INDEX(W10:W21,MATCH(MAX(AA10:AA21),AA10:AA21,0))</f>
      </c>
      <c r="X22" s="3"/>
      <c r="Y22" s="3"/>
      <c r="Z22" s="3"/>
      <c r="AA22" s="114">
        <f>MATCH(MAX(AA10:AA21),AA10:AA21,0)+ROW(W10)-10</f>
      </c>
      <c r="AB22" s="114"/>
      <c r="AC22" s="114">
        <f t="array" ref="AC22:AC22">INDEX(AC10:AC21,MATCH(MAX(AG10:AG21),AG10:AG21,0))</f>
      </c>
      <c r="AD22" s="3"/>
      <c r="AE22" s="3"/>
      <c r="AF22" s="3"/>
      <c r="AG22" s="114">
        <f>MATCH(MAX(AG10:AG21),AG10:AG21,0)+ROW(AC10)-10</f>
      </c>
    </row>
    <row customHeight="true" ht="19" r="23">
      <c r="D23" s="114" t="str">
        <v>最终卡组</v>
      </c>
      <c r="E23" s="114">
        <f>IF(I22=1,E10,IF(I22=7,E16,E2))</f>
      </c>
      <c r="F23" s="114"/>
      <c r="G23" s="114"/>
      <c r="H23" s="114"/>
      <c r="I23" s="114">
        <f>IF(OR(I22=1,I22=7),ROUNDUP(VLOOKUP(MID(E23,4,LEN(E23)),'第一属性比较'!A2:J999,10,FALSE),0),ROUNDUP(VLOOKUP(E23,'第一属性比较'!A2:D999,4,FALSE),0))</f>
      </c>
      <c r="J23" s="3"/>
      <c r="K23" s="114">
        <f>IF(O22=1,K10,IF(O22=7,K16,K2))</f>
      </c>
      <c r="L23" s="114"/>
      <c r="M23" s="114"/>
      <c r="N23" s="114"/>
      <c r="O23" s="114">
        <f>IF(OR(O22=1,O22=7),ROUNDUP(VLOOKUP(MID(K23,4,LEN(K23)),'第一属性比较'!A2:J999,10,FALSE),0),ROUNDUP(VLOOKUP(K23,'第一属性比较'!A2:D999,4,FALSE),0))</f>
      </c>
      <c r="P23" s="3"/>
      <c r="Q23" s="114">
        <f>IF(U22=1,Q10,IF(U22=7,Q16,Q2))</f>
      </c>
      <c r="R23" s="114"/>
      <c r="S23" s="114"/>
      <c r="T23" s="114"/>
      <c r="U23" s="114">
        <f>IF(OR(U22=1,U22=7),ROUNDUP(VLOOKUP(MID(Q23,4,LEN(Q23)),'第二属性比较'!A2:J1100,10,FALSE),0),ROUNDUP(VLOOKUP(Q23,'第二属性比较'!A2:D1100,4,FALSE),0))</f>
      </c>
      <c r="V23" s="3"/>
      <c r="W23" s="114">
        <f>IF(AA22=1,W10,IF(AA22=7,W16,W2))</f>
      </c>
      <c r="X23" s="114"/>
      <c r="Y23" s="114"/>
      <c r="Z23" s="114"/>
      <c r="AA23" s="114">
        <f>IF(OR(AA22=1,AA22=7),ROUNDUP(VLOOKUP(MID(W23,4,LEN(W23)),'第一属性比较'!A2:J999,10,FALSE),0),ROUNDUP(VLOOKUP(W23,'第一属性比较'!A2:D999,4,FALSE),0))</f>
      </c>
      <c r="AB23" s="114"/>
      <c r="AC23" s="114">
        <f>IF(AG22=1,AC10,IF(AG22=7,AC16,AC2))</f>
      </c>
      <c r="AD23" s="114"/>
      <c r="AE23" s="114"/>
      <c r="AF23" s="114"/>
      <c r="AG23" s="114">
        <f>IF(OR(AG22=1,AG22=7),ROUNDUP(VLOOKUP(MID(AC23,4,LEN(AC23)),'第一属性比较'!A2:J999,10,FALSE),0),ROUNDUP(VLOOKUP(AC23,'第一属性比较'!A2:D999,4,FALSE),0))</f>
      </c>
    </row>
    <row customHeight="true" ht="19" r="24">
      <c r="D24" s="3"/>
      <c r="E24" s="114">
        <f>IF(I22=2,E11,IF(I22=8,E17,E3))</f>
      </c>
      <c r="F24" s="114"/>
      <c r="G24" s="114"/>
      <c r="H24" s="114"/>
      <c r="I24" s="114">
        <f>IF(OR(I22=2,I22=8),ROUNDUP(VLOOKUP(MID(E24,4,LEN(E24)),'第一属性比较'!A2:J999,10,FALSE),0),ROUNDUP(VLOOKUP(E24,'第一属性比较'!A2:D999,4,FALSE),0))</f>
      </c>
      <c r="J24" s="3"/>
      <c r="K24" s="114">
        <f>IF(O22=2,K11,IF(O22=8,K17,K3))</f>
      </c>
      <c r="L24" s="114"/>
      <c r="M24" s="114"/>
      <c r="N24" s="114"/>
      <c r="O24" s="114">
        <f>IF(OR(O22=2,O22=8),ROUNDUP(VLOOKUP(MID(K24,4,LEN(K24)),'第一属性比较'!A2:J999,10,FALSE),0),ROUNDUP(VLOOKUP(K24,'第一属性比较'!A2:D999,4,FALSE),0))</f>
      </c>
      <c r="P24" s="3"/>
      <c r="Q24" s="114">
        <f>IF(U22=2,Q11,IF(U22=8,Q17,Q3))</f>
      </c>
      <c r="R24" s="114"/>
      <c r="S24" s="114"/>
      <c r="T24" s="114"/>
      <c r="U24" s="114">
        <f>IF(OR(U22=2,U22=8),ROUNDUP(VLOOKUP(MID(Q24,4,LEN(Q24)),'第二属性比较'!A2:J1100,10,FALSE),0),ROUNDUP(VLOOKUP(Q24,'第二属性比较'!A2:D1100,4,FALSE),0))</f>
      </c>
      <c r="V24" s="3"/>
      <c r="W24" s="114">
        <f>IF(AA22=2,W11,IF(AA22=8,W17,W3))</f>
      </c>
      <c r="X24" s="114"/>
      <c r="Y24" s="114"/>
      <c r="Z24" s="114"/>
      <c r="AA24" s="114">
        <f>IF(OR(AA22=2,AA22=8),ROUNDUP(VLOOKUP(MID(W24,4,LEN(W24)),'第一属性比较'!A2:J999,10,FALSE),0),ROUNDUP(VLOOKUP(W24,'第一属性比较'!A2:D999,4,FALSE),0))</f>
      </c>
      <c r="AB24" s="114"/>
      <c r="AC24" s="114">
        <f>IF(AG22=2,AC11,IF(AG22=8,AC17,AC3))</f>
      </c>
      <c r="AD24" s="114"/>
      <c r="AE24" s="114"/>
      <c r="AF24" s="114"/>
      <c r="AG24" s="114">
        <f>IF(OR(AG22=2,AG22=8),ROUNDUP(VLOOKUP(MID(AC24,4,LEN(AC24)),'第一属性比较'!A2:J999,10,FALSE),0),ROUNDUP(VLOOKUP(AC24,'第一属性比较'!A2:D999,4,FALSE),0))</f>
      </c>
    </row>
    <row customHeight="true" ht="19" r="25">
      <c r="D25" s="3"/>
      <c r="E25" s="114">
        <f>IF(I22=3,E12,IF(I22=9,E18,E4))</f>
      </c>
      <c r="F25" s="114"/>
      <c r="G25" s="114"/>
      <c r="H25" s="114"/>
      <c r="I25" s="114">
        <f>IF(OR(I22=3,I22=9),ROUNDUP(VLOOKUP(MID(E25,4,LEN(E25)),'第一属性比较'!A2:J999,10,FALSE),0),ROUNDUP(VLOOKUP(E25,'第一属性比较'!A2:D999,4,FALSE),0))</f>
      </c>
      <c r="J25" s="3"/>
      <c r="K25" s="114">
        <f>IF(O22=3,K12,IF(O22=9,K18,K4))</f>
      </c>
      <c r="L25" s="114"/>
      <c r="M25" s="114"/>
      <c r="N25" s="114"/>
      <c r="O25" s="114">
        <f>IF(OR(O22=3,O22=9),ROUNDUP(VLOOKUP(MID(K25,4,LEN(K25)),'第一属性比较'!A2:J999,10,FALSE),0),ROUNDUP(VLOOKUP(K25,'第一属性比较'!A2:D999,4,FALSE),0))</f>
      </c>
      <c r="P25" s="3"/>
      <c r="Q25" s="114">
        <f>IF(U22=3,Q12,IF(U22=9,Q18,Q4))</f>
      </c>
      <c r="R25" s="114"/>
      <c r="S25" s="114"/>
      <c r="T25" s="114"/>
      <c r="U25" s="114">
        <f>IF(OR(U22=3,U22=9),ROUNDUP(VLOOKUP(MID(Q25,4,LEN(Q25)),'第二属性比较'!A2:J1100,10,FALSE),0),ROUNDUP(VLOOKUP(Q25,'第二属性比较'!A2:D1100,4,FALSE),0))</f>
      </c>
      <c r="V25" s="3"/>
      <c r="W25" s="114">
        <f>IF(AA22=3,W12,IF(AA22=9,W18,W4))</f>
      </c>
      <c r="X25" s="114"/>
      <c r="Y25" s="114"/>
      <c r="Z25" s="114"/>
      <c r="AA25" s="114">
        <f>IF(OR(AA22=3,AA22=9),ROUNDUP(VLOOKUP(MID(W25,4,LEN(W25)),'第二属性比较'!A2:J1100,10,FALSE),0),ROUNDUP(VLOOKUP(W25,'第二属性比较'!A2:D1100,4,FALSE),0))</f>
      </c>
      <c r="AB25" s="114"/>
      <c r="AC25" s="124">
        <f>IF(AG22=3,AC12,IF(AG22=9,AC18,AC4))</f>
      </c>
      <c r="AD25" s="124"/>
      <c r="AE25" s="124"/>
      <c r="AF25" s="124"/>
      <c r="AG25" s="114">
        <f>IF(OR(AG22=3,AG22=9),ROUNDUP(VLOOKUP(MID(AC25,4,LEN(AC25)),'第二属性比较'!A2:J1100,10,FALSE),0),ROUNDUP(VLOOKUP(AC25,'第二属性比较'!A2:D1100,4,FALSE),0))</f>
      </c>
    </row>
    <row customHeight="true" ht="19" r="26">
      <c r="D26" s="3"/>
      <c r="E26" s="114">
        <f>IF(I22=4,E13,IF(I22=10,E19,E5))</f>
      </c>
      <c r="F26" s="114"/>
      <c r="G26" s="114"/>
      <c r="H26" s="114"/>
      <c r="I26" s="114">
        <f>IF(OR(I22=4,I22=10),ROUNDUP(VLOOKUP(MID(E26,4,LEN(E26)),'第二属性比较'!A2:J1100,10,FALSE),0),ROUNDUP(VLOOKUP(E26,'第二属性比较'!A2:D1100,4,FALSE),0))</f>
      </c>
      <c r="J26" s="3"/>
      <c r="K26" s="114">
        <f>IF(O22=4,K13,IF(O22=10,K19,K5))</f>
      </c>
      <c r="L26" s="114"/>
      <c r="M26" s="114"/>
      <c r="N26" s="114"/>
      <c r="O26" s="114">
        <f>IF(OR(O22=4,O22=10),ROUNDUP(VLOOKUP(MID(K26,4,LEN(K26)),'第二属性比较'!A2:J1100,10,FALSE),0),ROUNDUP(VLOOKUP(K26,'第二属性比较'!A2:D1100,4,FALSE),0))</f>
      </c>
      <c r="P26" s="3"/>
      <c r="Q26" s="114">
        <f>IF(U22=4,Q13,IF(U22=10,Q19,Q5))</f>
      </c>
      <c r="R26" s="114"/>
      <c r="S26" s="114"/>
      <c r="T26" s="114"/>
      <c r="U26" s="114">
        <f>IF(OR(U22=4,U22=10),ROUNDUP(VLOOKUP(MID(Q26,4,LEN(Q26)),'第一属性比较'!A2:J999,10,FALSE),0),ROUNDUP(VLOOKUP(Q26,'第一属性比较'!A2:D999,4,FALSE),0))</f>
      </c>
      <c r="V26" s="3"/>
      <c r="W26" s="114">
        <f>IF(AA22=4,W13,IF(AA22=10,W19,W5))</f>
      </c>
      <c r="X26" s="114"/>
      <c r="Y26" s="114"/>
      <c r="Z26" s="114"/>
      <c r="AA26" s="114">
        <f>IF(OR(AA22=4,AA22=10),ROUNDUP(VLOOKUP(MID(W26,4,LEN(W26)),'第二属性比较'!A2:J1100,10,FALSE),0),ROUNDUP(VLOOKUP(W26,'第二属性比较'!A2:D1100,4,FALSE),0))</f>
      </c>
      <c r="AB26" s="114"/>
      <c r="AC26" s="114">
        <f>IF(AG22=4,AC13,IF(AG22=10,AC19,AC5))</f>
      </c>
      <c r="AD26" s="114"/>
      <c r="AE26" s="114"/>
      <c r="AF26" s="114"/>
      <c r="AG26" s="114">
        <f>IF(OR(AG22=4,AG22=10),ROUNDUP(VLOOKUP(MID(AC26,4,LEN(AC26)),'第二属性比较'!A2:J1100,10,FALSE),0),ROUNDUP(VLOOKUP(AC26,'第二属性比较'!A2:D1100,4,FALSE),0))</f>
      </c>
    </row>
    <row customHeight="true" ht="19" r="27">
      <c r="D27" s="3"/>
      <c r="E27" s="114">
        <f>IF(I22=5,E14,IF(I22=11,E20,E6))</f>
      </c>
      <c r="F27" s="114"/>
      <c r="G27" s="114"/>
      <c r="H27" s="114"/>
      <c r="I27" s="114">
        <f>IF(OR(I22=5,I22=11),ROUNDUP(VLOOKUP(MID(E27,4,LEN(E27)),'第二属性比较'!A2:J1100,10,FALSE),0),ROUNDUP(VLOOKUP(E27,'第二属性比较'!A2:D1100,4,FALSE),0))</f>
      </c>
      <c r="J27" s="3"/>
      <c r="K27" s="114">
        <f>IF(O22=5,K14,IF(O22=11,K20,K6))</f>
      </c>
      <c r="L27" s="114"/>
      <c r="M27" s="114"/>
      <c r="N27" s="114"/>
      <c r="O27" s="114">
        <f>IF(OR(O22=5,O22=11),ROUNDUP(VLOOKUP(MID(K27,4,LEN(K27)),'第二属性比较'!A2:J1100,10,FALSE),0),ROUNDUP(VLOOKUP(K27,'第二属性比较'!A2:D1100,4,FALSE),0))</f>
      </c>
      <c r="P27" s="3"/>
      <c r="Q27" s="114">
        <f>IF(U22=5,Q14,IF(U22=11,Q20,Q6))</f>
      </c>
      <c r="R27" s="114"/>
      <c r="S27" s="114"/>
      <c r="T27" s="114"/>
      <c r="U27" s="114">
        <f>IF(OR(U22=5,U22=11),ROUNDUP(VLOOKUP(MID(Q27,4,LEN(Q27)),'第一属性比较'!A2:J999,10,FALSE),0),ROUNDUP(VLOOKUP(Q27,'第一属性比较'!A2:D999,4,FALSE),0))</f>
      </c>
      <c r="V27" s="3"/>
      <c r="W27" s="114">
        <f>IF(AA22=5,W14,IF(AA22=11,W20,W6))</f>
      </c>
      <c r="X27" s="114"/>
      <c r="Y27" s="114"/>
      <c r="Z27" s="114"/>
      <c r="AA27" s="114">
        <f>IF(OR(AA22=5,AA22=11),ROUNDUP(VLOOKUP(MID(W27,4,LEN(W27)),'第三属性比较'!A2:J999,10,FALSE),0),ROUNDUP(VLOOKUP(W27,'第三属性比较'!A2:D999,4,FALSE),0))</f>
      </c>
      <c r="AB27" s="114"/>
      <c r="AC27" s="114">
        <f>IF(AG22=5,AC14,IF(AG22=11,AC20,AC6))</f>
      </c>
      <c r="AD27" s="114"/>
      <c r="AE27" s="114"/>
      <c r="AF27" s="114"/>
      <c r="AG27" s="114">
        <f>IF(OR(AG22=5,AG22=11),ROUNDUP(VLOOKUP(MID(AC27,4,LEN(AC27)),'第二属性比较'!A2:J1100,10,FALSE),0),ROUNDUP(VLOOKUP(AC27,'第二属性比较'!A2:D1100,4,FALSE),0))</f>
      </c>
    </row>
    <row customHeight="true" ht="19" r="28">
      <c r="D28" s="3"/>
      <c r="E28" s="114">
        <f>IF(I22=6,E15,IF(I22=12,E21,E7))</f>
      </c>
      <c r="F28" s="114"/>
      <c r="G28" s="114"/>
      <c r="H28" s="114"/>
      <c r="I28" s="114">
        <f>IF(OR(I22=6,I22=12),ROUNDUP(VLOOKUP(MID(E28,4,LEN(E28)),'第二属性比较'!A2:J1100,10,FALSE),0),ROUNDUP(VLOOKUP(E28,'第二属性比较'!A2:D1100,4,FALSE),0))</f>
      </c>
      <c r="J28" s="3"/>
      <c r="K28" s="114">
        <f>IF(O22=6,K15,IF(O22=12,K21,K7))</f>
      </c>
      <c r="L28" s="114"/>
      <c r="M28" s="114"/>
      <c r="N28" s="114"/>
      <c r="O28" s="114">
        <f>IF(OR(O22=6,O22=12),ROUNDUP(VLOOKUP(MID(K28,4,LEN(K28)),'第三属性比较'!A2:J999,10,FALSE),0),ROUNDUP(VLOOKUP(K28,'第三属性比较'!A2:D999,4,FALSE),0))</f>
      </c>
      <c r="P28" s="3"/>
      <c r="Q28" s="114">
        <f>IF(U22=6,Q15,IF(U22=12,Q21,Q7))</f>
      </c>
      <c r="R28" s="114"/>
      <c r="S28" s="114"/>
      <c r="T28" s="114"/>
      <c r="U28" s="114">
        <f>IF(OR(U22=6,U22=12),ROUNDUP(VLOOKUP(MID(Q28,4,LEN(Q28)),'第三属性比较'!A2:J999,10,FALSE),0),ROUNDUP(VLOOKUP(Q28,'第三属性比较'!A2:D999,4,FALSE),0))</f>
      </c>
      <c r="V28" s="3"/>
      <c r="W28" s="114">
        <f>IF(AA22=6,W15,IF(AA22=12,W21,W7))</f>
      </c>
      <c r="X28" s="114"/>
      <c r="Y28" s="114"/>
      <c r="Z28" s="114"/>
      <c r="AA28" s="114">
        <f>IF(OR(AA22=6,AA22=12),ROUNDUP(VLOOKUP(MID(W28,4,LEN(W28)),'第三属性比较'!A2:J999,10,FALSE),0),ROUNDUP(VLOOKUP(W28,'第三属性比较'!A2:D999,4,FALSE),0))</f>
      </c>
      <c r="AB28" s="114"/>
      <c r="AC28" s="114">
        <f>IF(AG22=6,AC15,IF(AG22=12,AC21,AC7))</f>
      </c>
      <c r="AD28" s="114"/>
      <c r="AE28" s="114"/>
      <c r="AF28" s="114"/>
      <c r="AG28" s="114">
        <f>IF(OR(AG22=6,AG22=12),ROUNDUP(VLOOKUP(MID(AC28,4,LEN(AC28)),'第二属性比较'!A2:J1100,10,FALSE),0),ROUNDUP(VLOOKUP(AC28,'第二属性比较'!A2:D1100,4,FALSE),0))</f>
      </c>
    </row>
  </sheetData>
  <mergeCells>
    <mergeCell ref="E2:H2"/>
    <mergeCell ref="K2:N2"/>
    <mergeCell ref="Q2:T2"/>
    <mergeCell ref="W2:Z2"/>
    <mergeCell ref="AC2:AF2"/>
    <mergeCell ref="E3:H3"/>
    <mergeCell ref="K3:N3"/>
    <mergeCell ref="Q3:T3"/>
    <mergeCell ref="W3:Z3"/>
    <mergeCell ref="AC3:AF3"/>
    <mergeCell ref="E4:H4"/>
    <mergeCell ref="K4:N4"/>
    <mergeCell ref="Q4:T4"/>
    <mergeCell ref="W4:Z4"/>
    <mergeCell ref="AC4:AF4"/>
    <mergeCell ref="E5:H5"/>
    <mergeCell ref="K5:N5"/>
    <mergeCell ref="Q5:T5"/>
    <mergeCell ref="W5:Z5"/>
    <mergeCell ref="AC5:AF5"/>
    <mergeCell ref="E6:H6"/>
    <mergeCell ref="K6:N6"/>
    <mergeCell ref="Q6:T6"/>
    <mergeCell ref="W6:Z6"/>
    <mergeCell ref="AC6:AF6"/>
    <mergeCell ref="E7:H7"/>
    <mergeCell ref="K7:N7"/>
    <mergeCell ref="Q7:T7"/>
    <mergeCell ref="W7:Z7"/>
    <mergeCell ref="AC7:AF7"/>
    <mergeCell ref="E23:H23"/>
    <mergeCell ref="K23:N23"/>
    <mergeCell ref="Q23:T23"/>
    <mergeCell ref="W23:Z23"/>
    <mergeCell ref="AC23:AF23"/>
    <mergeCell ref="E24:H24"/>
    <mergeCell ref="K24:N24"/>
    <mergeCell ref="Q24:T24"/>
    <mergeCell ref="W24:Z24"/>
    <mergeCell ref="AC24:AF24"/>
    <mergeCell ref="E25:H25"/>
    <mergeCell ref="K25:N25"/>
    <mergeCell ref="Q25:T25"/>
    <mergeCell ref="W25:Z25"/>
    <mergeCell ref="AC25:AF25"/>
    <mergeCell ref="E26:H26"/>
    <mergeCell ref="K26:N26"/>
    <mergeCell ref="Q26:T26"/>
    <mergeCell ref="W26:Z26"/>
    <mergeCell ref="AC26:AF26"/>
    <mergeCell ref="E27:H27"/>
    <mergeCell ref="K27:N27"/>
    <mergeCell ref="Q27:T27"/>
    <mergeCell ref="W27:Z27"/>
    <mergeCell ref="AC27:AF27"/>
    <mergeCell ref="E28:H28"/>
    <mergeCell ref="K28:N28"/>
    <mergeCell ref="Q28:T28"/>
    <mergeCell ref="W28:Z28"/>
    <mergeCell ref="AC28:AF28"/>
  </mergeCells>
</worksheet>
</file>

<file path=xl/worksheets/sheet1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FFFFFF"/>
    <outlinePr summaryBelow="false" summaryRight="false"/>
  </sheetPr>
  <dimension ref="A1"/>
  <sheetViews>
    <sheetView showGridLines="true" workbookViewId="0"/>
  </sheetViews>
  <sheetFormatPr defaultColWidth="14" defaultRowHeight="19"/>
  <cols>
    <col collapsed="false" customWidth="true" hidden="false" max="1" min="1" style="0" width="14"/>
    <col collapsed="false" customWidth="true" hidden="false" max="2" min="2" style="0" width="14"/>
    <col collapsed="false" customWidth="true" hidden="false" max="3" min="3" style="0" width="14"/>
    <col collapsed="false" customWidth="true" hidden="false" max="4" min="4" style="0" width="14"/>
    <col collapsed="false" customWidth="true" hidden="false" max="5" min="5" style="0" width="14"/>
    <col collapsed="false" customWidth="true" hidden="false" max="6" min="6" style="0" width="14"/>
    <col collapsed="false" customWidth="true" hidden="false" max="7" min="7" style="0" width="14"/>
    <col collapsed="false" customWidth="true" hidden="false" max="8" min="8" style="0" width="14"/>
    <col collapsed="false" customWidth="true" hidden="false" max="9" min="9" style="0" width="14"/>
    <col collapsed="false" customWidth="true" hidden="false" max="10" min="10" style="0" width="14"/>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s>
  <sheetData>
    <row customHeight="true" ht="19" r="1">
      <c r="A1" s="1" t="str">
        <v>2025.6.9.</v>
      </c>
      <c r="B1" s="1" t="str">
        <v>6月9新卡实装</v>
      </c>
    </row>
    <row customHeight="true" ht="19" r="2">
      <c r="A2" s="1" t="str">
        <v>2025.6.7.</v>
      </c>
      <c r="B2" s="1" t="str">
        <v>路线模拟及评分计算器追加</v>
      </c>
    </row>
    <row customHeight="true" ht="19" r="3">
      <c r="A3" s="1" t="str">
        <v>2025.6.3.</v>
      </c>
      <c r="B3" s="1" t="str">
        <v>第三属性代码修复</v>
      </c>
    </row>
    <row customHeight="true" ht="19" r="4">
      <c r="A4" s="1" t="str">
        <v>2025.5.31.</v>
      </c>
      <c r="B4" s="1" t="str">
        <v>卡组计算代码修改</v>
      </c>
    </row>
    <row customHeight="true" ht="19" r="5">
      <c r="A5" s="1"/>
      <c r="B5" s="1" t="str">
        <v>再修改</v>
      </c>
    </row>
    <row customHeight="true" ht="19" r="6">
      <c r="A6" s="1" t="str">
        <v>2025.5.30.</v>
      </c>
      <c r="B6" s="1" t="str">
        <v>新扭蛋池卡实装</v>
      </c>
    </row>
    <row customHeight="true" ht="19" r="7">
      <c r="A7" s="1" t="str">
        <v>2025.5.29.</v>
      </c>
      <c r="B7" s="1" t="str">
        <v>5月29新卡实装</v>
      </c>
    </row>
    <row customHeight="true" ht="19" r="8">
      <c r="A8" s="1" t="str">
        <v>2025.5.27.</v>
      </c>
      <c r="B8" s="1" t="str">
        <v>新增2/4配卡方案</v>
      </c>
    </row>
    <row customHeight="true" ht="19" r="9">
      <c r="A9" s="1" t="str">
        <v>2025.5.22.</v>
      </c>
      <c r="B9" s="1" t="str">
        <v>黄蓝非凡错位修复</v>
      </c>
    </row>
    <row customHeight="true" ht="19" r="10">
      <c r="B10" s="1" t="str">
        <v>理性黄2sp报错修复</v>
      </c>
    </row>
    <row customHeight="true" ht="19" r="11">
      <c r="A11" s="1" t="str">
        <v>2025.5.21.</v>
      </c>
      <c r="B11" s="1" t="str">
        <v>卡组自动构成实装至mas版本</v>
      </c>
    </row>
    <row customHeight="true" ht="19" r="12">
      <c r="A12" s="1" t="str">
        <v>2025.5.20.</v>
      </c>
      <c r="B12" s="1" t="str">
        <v>新增塞卡等效属性选项</v>
      </c>
    </row>
    <row customHeight="true" ht="19" r="13">
      <c r="A13" s="1" t="str">
        <v>2025.5.19.</v>
      </c>
      <c r="B13" s="1" t="str">
        <v>mas路线实装，抓卡类道具计算优化</v>
      </c>
    </row>
    <row customHeight="true" ht="19" r="14">
      <c r="A14" s="1" t="str">
        <v>2025.5.16.</v>
      </c>
      <c r="B14" s="1" t="str">
        <v>5月16新卡实装，报错修复</v>
      </c>
    </row>
    <row customHeight="true" ht="19" r="15">
      <c r="B15" s="1" t="str">
        <v>运动会新卡追加</v>
      </c>
    </row>
    <row customHeight="true" ht="19" r="16">
      <c r="A16" s="1" t="str">
        <v>2025.5.14.</v>
      </c>
      <c r="B16" s="1" t="str">
        <v>借卡功能实装，完全版1.0</v>
      </c>
    </row>
    <row customHeight="true" ht="19" r="17">
      <c r="B17" s="1" t="str">
        <v>sp数量为0时报错修复，将永年系道具属性调整为52，减少其出现在配卡中的情况</v>
      </c>
    </row>
    <row customHeight="true" ht="19" r="18">
      <c r="B18" s="1" t="str">
        <v>蓝黄、红黄感性以外流派报错修复，大申变</v>
      </c>
    </row>
    <row customHeight="true" ht="19" r="19">
      <c r="B19" s="1" t="str">
        <v>计算区移位，方便后续长期维护</v>
      </c>
    </row>
    <row customHeight="true" ht="19" r="20"/>
    <row customHeight="true" ht="19" r="21"/>
    <row customHeight="true" ht="19" r="22"/>
    <row customHeight="true" ht="19" r="23"/>
    <row customHeight="true" ht="19" r="24"/>
    <row customHeight="true" ht="19" r="25"/>
    <row customHeight="true" ht="19" r="26"/>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