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Polimi\SEMESTER 3\ROTORCRAFT DESIGN\HW\Assignment_6_7_8\"/>
    </mc:Choice>
  </mc:AlternateContent>
  <xr:revisionPtr revIDLastSave="0" documentId="13_ncr:1_{E3F4497B-AF35-4AB7-AC9E-CA48C3C96499}" xr6:coauthVersionLast="47" xr6:coauthVersionMax="47" xr10:uidLastSave="{00000000-0000-0000-0000-000000000000}"/>
  <bookViews>
    <workbookView xWindow="-110" yWindow="-110" windowWidth="25820" windowHeight="15760" xr2:uid="{00000000-000D-0000-FFFF-FFFF00000000}"/>
  </bookViews>
  <sheets>
    <sheet name="data" sheetId="1" r:id="rId1"/>
    <sheet name="Input Ground Resonance" sheetId="7" r:id="rId2"/>
    <sheet name="Adams Input" sheetId="2" r:id="rId3"/>
    <sheet name="cg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7" l="1"/>
  <c r="D6" i="2"/>
  <c r="D5" i="2" l="1"/>
  <c r="C12" i="7"/>
  <c r="C5" i="7"/>
  <c r="C4" i="7"/>
  <c r="C3" i="7"/>
  <c r="D3" i="5"/>
  <c r="J5" i="5"/>
  <c r="J4" i="5"/>
  <c r="C8" i="7" s="1"/>
  <c r="J3" i="5"/>
  <c r="I5" i="5"/>
  <c r="I4" i="5"/>
  <c r="I3" i="5"/>
  <c r="D12" i="5"/>
  <c r="E12" i="5" s="1"/>
  <c r="D11" i="5"/>
  <c r="E11" i="5" s="1"/>
  <c r="D10" i="5"/>
  <c r="D9" i="5"/>
  <c r="D8" i="5"/>
  <c r="D6" i="5"/>
  <c r="D5" i="5"/>
  <c r="D4" i="5"/>
  <c r="C12" i="5"/>
  <c r="C11" i="5"/>
  <c r="C10" i="5"/>
  <c r="C9" i="5"/>
  <c r="C8" i="5"/>
  <c r="E8" i="5" s="1"/>
  <c r="C7" i="5"/>
  <c r="C6" i="5"/>
  <c r="E6" i="5" s="1"/>
  <c r="C5" i="5"/>
  <c r="E5" i="5" s="1"/>
  <c r="C4" i="5"/>
  <c r="C3" i="5"/>
  <c r="E3" i="5" s="1"/>
  <c r="D21" i="2"/>
  <c r="C13" i="7" s="1"/>
  <c r="D15" i="2"/>
  <c r="F15" i="2" s="1"/>
  <c r="C15" i="7" s="1"/>
  <c r="D13" i="2"/>
  <c r="D11" i="2"/>
  <c r="D12" i="2" s="1"/>
  <c r="D4" i="2"/>
  <c r="D3" i="2"/>
  <c r="E9" i="5" l="1"/>
  <c r="E10" i="5"/>
  <c r="E4" i="5"/>
  <c r="C16" i="7"/>
  <c r="C14" i="7"/>
  <c r="C6" i="7"/>
  <c r="D25" i="2"/>
  <c r="K5" i="5"/>
  <c r="K4" i="5"/>
  <c r="I6" i="5"/>
  <c r="K3" i="5" l="1"/>
  <c r="K6" i="5" s="1"/>
  <c r="C13" i="5"/>
  <c r="J7" i="5" l="1"/>
  <c r="D7" i="5" s="1"/>
  <c r="E7" i="5" s="1"/>
  <c r="E13" i="5" s="1"/>
  <c r="D14" i="5" s="1"/>
  <c r="D23" i="2" l="1"/>
  <c r="D15" i="5"/>
  <c r="D16" i="5"/>
  <c r="D24" i="2"/>
  <c r="C9" i="7" s="1"/>
</calcChain>
</file>

<file path=xl/sharedStrings.xml><?xml version="1.0" encoding="utf-8"?>
<sst xmlns="http://schemas.openxmlformats.org/spreadsheetml/2006/main" count="343" uniqueCount="242">
  <si>
    <t>m.r. blades weight</t>
  </si>
  <si>
    <t>dimensionless flapping frequency</t>
  </si>
  <si>
    <t>m.r. mean chord</t>
  </si>
  <si>
    <t>Lock number m.r.</t>
  </si>
  <si>
    <t>m.r. head weight</t>
  </si>
  <si>
    <t xml:space="preserve">               </t>
  </si>
  <si>
    <t>t.r. weight</t>
  </si>
  <si>
    <t>fuselage weight</t>
  </si>
  <si>
    <t>fuselage length</t>
  </si>
  <si>
    <t>fuselage diameter</t>
  </si>
  <si>
    <t>landing gear weight</t>
  </si>
  <si>
    <t>drive system weight</t>
  </si>
  <si>
    <t>number of reduction stages</t>
  </si>
  <si>
    <t>fuel system weight</t>
  </si>
  <si>
    <t>installed motor weight</t>
  </si>
  <si>
    <t>flight controls weight</t>
  </si>
  <si>
    <t>equipment weight</t>
  </si>
  <si>
    <t xml:space="preserve">       </t>
  </si>
  <si>
    <t>MINIMUM OPERATIVE WEIGHT</t>
  </si>
  <si>
    <t xml:space="preserve">          </t>
  </si>
  <si>
    <t>equivalent flat-plate area</t>
  </si>
  <si>
    <t xml:space="preserve">   </t>
  </si>
  <si>
    <t>TOW mission 1</t>
  </si>
  <si>
    <t>Fuel weight mission 1</t>
  </si>
  <si>
    <t xml:space="preserve">     </t>
  </si>
  <si>
    <t>TOW mission 2</t>
  </si>
  <si>
    <t>Fuel weight mission 2</t>
  </si>
  <si>
    <t xml:space="preserve">           </t>
  </si>
  <si>
    <t>MTOW</t>
  </si>
  <si>
    <t xml:space="preserve">    roll</t>
  </si>
  <si>
    <t xml:space="preserve">    pitch</t>
  </si>
  <si>
    <t xml:space="preserve">    yaw</t>
  </si>
  <si>
    <t>MAIN ROTOR</t>
  </si>
  <si>
    <t>no. of blades</t>
  </si>
  <si>
    <t>radius</t>
  </si>
  <si>
    <t>angular velocity</t>
  </si>
  <si>
    <t>V tip</t>
  </si>
  <si>
    <t>m.r. solidity</t>
  </si>
  <si>
    <t>root blade chord</t>
  </si>
  <si>
    <t>constant chord segment</t>
  </si>
  <si>
    <t>[%]</t>
  </si>
  <si>
    <t>mean blade chord</t>
  </si>
  <si>
    <t>tip blade chord</t>
  </si>
  <si>
    <t>blade linear twist</t>
  </si>
  <si>
    <t>blade pitch @ 0.75R</t>
  </si>
  <si>
    <t>blade collective pitch</t>
  </si>
  <si>
    <t>m.r. thrust</t>
  </si>
  <si>
    <t>m.r. necessary thrust</t>
  </si>
  <si>
    <t>m.r. power</t>
  </si>
  <si>
    <t>m.r. ideal induced power</t>
  </si>
  <si>
    <t>m.r. profile power</t>
  </si>
  <si>
    <t>power loading</t>
  </si>
  <si>
    <t>disk loading</t>
  </si>
  <si>
    <t>figure of merit</t>
  </si>
  <si>
    <t>blade loading coeff.</t>
  </si>
  <si>
    <t>TAIL ROTOR</t>
  </si>
  <si>
    <t>chord</t>
  </si>
  <si>
    <t>blade pitch</t>
  </si>
  <si>
    <t>t.r. thrust</t>
  </si>
  <si>
    <t>t.r. necessary thrust</t>
  </si>
  <si>
    <t>t.r. power</t>
  </si>
  <si>
    <t xml:space="preserve">                              </t>
  </si>
  <si>
    <t>TOTAL HOVERING POWER</t>
  </si>
  <si>
    <t xml:space="preserve">                         </t>
  </si>
  <si>
    <t>FORWARD FLIGHT (MISSION 1)</t>
  </si>
  <si>
    <t>Cruise Speed</t>
  </si>
  <si>
    <t>Air density</t>
  </si>
  <si>
    <t>Collective pitch command</t>
  </si>
  <si>
    <t>Longitudinal cyclic command</t>
  </si>
  <si>
    <t>Longitudinal flapping</t>
  </si>
  <si>
    <t>Fuselage AoA</t>
  </si>
  <si>
    <t>AoA of retreating blade (psi=270 deg, r=0.75 R)</t>
  </si>
  <si>
    <t>Blade stall AoA</t>
  </si>
  <si>
    <t xml:space="preserve">                       </t>
  </si>
  <si>
    <t>m.r. power in cruise</t>
  </si>
  <si>
    <t>m.r. thrust in cruise (from BET)</t>
  </si>
  <si>
    <t>m.r. necessary thrust in cruise (from closed form eq.)</t>
  </si>
  <si>
    <t>Parameter</t>
  </si>
  <si>
    <t>n° of m.r. blades</t>
  </si>
  <si>
    <t>hinge offset e</t>
  </si>
  <si>
    <t>fuselage diameter [m]</t>
  </si>
  <si>
    <t>n° of engines</t>
  </si>
  <si>
    <t>specific fuel consumption [kg/hp/hr]</t>
  </si>
  <si>
    <t>landing gear type (1-wheels 2-skids)</t>
  </si>
  <si>
    <t>IF 1-wheels, n° of legs</t>
  </si>
  <si>
    <t>IF 1-wheels, retractable flag (1-no 2-yes)</t>
  </si>
  <si>
    <t>IF 2-skids, landing gear load factor</t>
  </si>
  <si>
    <t>IF 2-skids, stiff in plane rotor flag (1-yes 2-no)</t>
  </si>
  <si>
    <t>mission 1 payload [kg]</t>
  </si>
  <si>
    <t>mission 1 crew weight [kg]</t>
  </si>
  <si>
    <t>mission 1 cruise speed [m/s]</t>
  </si>
  <si>
    <t>mission 1 range [km]</t>
  </si>
  <si>
    <t>mission 1 air density [kg/m^3]</t>
  </si>
  <si>
    <t>mission 2 payload [kg]</t>
  </si>
  <si>
    <t>mission 2 crew weight [kg]</t>
  </si>
  <si>
    <t>mission 2 loiter speed [m/s]</t>
  </si>
  <si>
    <t>mission 2 endurance [hr]</t>
  </si>
  <si>
    <t>mission 2 air density [kg/m^3]</t>
  </si>
  <si>
    <t>n° of t.r. blades</t>
  </si>
  <si>
    <t>Mach n° at m.r. tip</t>
  </si>
  <si>
    <t>horizontal stabilizer surface [m^2]</t>
  </si>
  <si>
    <t>Cl/alpha horizontal stabilizer [1/rad]</t>
  </si>
  <si>
    <t>weighting factor for hovering power minimization</t>
  </si>
  <si>
    <t>weighting factor for fwd flight power (cruise) minimization</t>
  </si>
  <si>
    <t>My Helicopter (AW189)</t>
  </si>
  <si>
    <t>AW189</t>
  </si>
  <si>
    <t>Result for K1 = 1 and K2 = 13</t>
  </si>
  <si>
    <t>Fuselage mass</t>
  </si>
  <si>
    <t>Inertia of fuselage (xx)</t>
  </si>
  <si>
    <t>Inertia of fuselage (yy)</t>
  </si>
  <si>
    <t>Inertia of fuselage (zz)</t>
  </si>
  <si>
    <t>Shaft mass</t>
  </si>
  <si>
    <t>Inertia of shaft (xx)</t>
  </si>
  <si>
    <t>Inertia of shaft (yy)</t>
  </si>
  <si>
    <t>Inertia of shaft (zz)</t>
  </si>
  <si>
    <t>Main rotor radius</t>
  </si>
  <si>
    <t>Eccentricity</t>
  </si>
  <si>
    <t>Blade chord</t>
  </si>
  <si>
    <t>Blade thickness</t>
  </si>
  <si>
    <t>Blade mass</t>
  </si>
  <si>
    <t>Inertia of blade (xx) (lag)</t>
  </si>
  <si>
    <t>Inertia of blade (yy) (flap)</t>
  </si>
  <si>
    <t>Inertia of blade (zz) (pitch)</t>
  </si>
  <si>
    <t>Vertical distance between the centroid and hub</t>
  </si>
  <si>
    <t>Base of the shaft</t>
  </si>
  <si>
    <t>Rotational velocity</t>
  </si>
  <si>
    <t>Lenght of landing gears</t>
  </si>
  <si>
    <t>Stifness of the landing gears</t>
  </si>
  <si>
    <t>Damping of the landing gears</t>
  </si>
  <si>
    <t>Stiffness in lag motion</t>
  </si>
  <si>
    <t>Damping in lag motion</t>
  </si>
  <si>
    <t>Stiffness of the main wheel (vertical)</t>
  </si>
  <si>
    <t>Damping of the main wheel (vertical)</t>
  </si>
  <si>
    <t>Stiffness of the main wheel (longitudinal)</t>
  </si>
  <si>
    <t>Damping of the main wheel (longitudinal)</t>
  </si>
  <si>
    <t>Stiffness of the main wheel (lateral)</t>
  </si>
  <si>
    <t>Damping of the main wheel (lateral)</t>
  </si>
  <si>
    <t>M_fuselage</t>
  </si>
  <si>
    <t>lxx_fuselage</t>
  </si>
  <si>
    <t>Izz_fuselage</t>
  </si>
  <si>
    <t>Eccentr</t>
  </si>
  <si>
    <t>h</t>
  </si>
  <si>
    <t>Klag</t>
  </si>
  <si>
    <t>kg</t>
  </si>
  <si>
    <t>kg.m2</t>
  </si>
  <si>
    <t>m</t>
  </si>
  <si>
    <t>k .m2</t>
  </si>
  <si>
    <t>rad/s</t>
  </si>
  <si>
    <t>N/m</t>
  </si>
  <si>
    <t>Ns/m</t>
  </si>
  <si>
    <t>M_albero</t>
  </si>
  <si>
    <t>lxx_albero</t>
  </si>
  <si>
    <t>Iyy_albero</t>
  </si>
  <si>
    <t>Izz_albero</t>
  </si>
  <si>
    <t>R_pala</t>
  </si>
  <si>
    <t>c_pala</t>
  </si>
  <si>
    <t>s_pala</t>
  </si>
  <si>
    <t>M_pala</t>
  </si>
  <si>
    <t>I_lag</t>
  </si>
  <si>
    <t>I_flap</t>
  </si>
  <si>
    <t>I_pitch</t>
  </si>
  <si>
    <t>b_albero</t>
  </si>
  <si>
    <t>Omega</t>
  </si>
  <si>
    <t>I_carello</t>
  </si>
  <si>
    <t>d1</t>
  </si>
  <si>
    <t>d2</t>
  </si>
  <si>
    <t>Clag</t>
  </si>
  <si>
    <t>k_tyre_v</t>
  </si>
  <si>
    <t>c_tyre_v</t>
  </si>
  <si>
    <t>k_tyre_long</t>
  </si>
  <si>
    <t>c_tyre_long</t>
  </si>
  <si>
    <t>k_tyre_lat</t>
  </si>
  <si>
    <t>c_tyre_lat</t>
  </si>
  <si>
    <t>Group</t>
  </si>
  <si>
    <t>Group Weight (kg)</t>
  </si>
  <si>
    <t>Fuselage Station (m)</t>
  </si>
  <si>
    <t>Moment (N.m)</t>
  </si>
  <si>
    <t>Total</t>
  </si>
  <si>
    <t>c.g. position (empty)</t>
  </si>
  <si>
    <t>Rotor disk AoA</t>
  </si>
  <si>
    <t xml:space="preserve"> [kg]</t>
  </si>
  <si>
    <t xml:space="preserve"> [m]</t>
  </si>
  <si>
    <t xml:space="preserve"> [m^2]</t>
  </si>
  <si>
    <t xml:space="preserve"> [kg] (20413.6624 [lb])</t>
  </si>
  <si>
    <t>moment of inertia</t>
  </si>
  <si>
    <t xml:space="preserve"> [kg*m^2]</t>
  </si>
  <si>
    <t xml:space="preserve"> (25.8907 [ft])</t>
  </si>
  <si>
    <t xml:space="preserve"> [rad/s]</t>
  </si>
  <si>
    <t xml:space="preserve"> [m/s]</t>
  </si>
  <si>
    <t xml:space="preserve"> (742.6665 [ft/s])</t>
  </si>
  <si>
    <t xml:space="preserve"> [%]</t>
  </si>
  <si>
    <t xml:space="preserve"> [deg/m]</t>
  </si>
  <si>
    <t xml:space="preserve"> (-2.8383 [deg, root-to-tip])</t>
  </si>
  <si>
    <t xml:space="preserve"> [deg]</t>
  </si>
  <si>
    <t xml:space="preserve"> [N]</t>
  </si>
  <si>
    <t xml:space="preserve"> [kW]</t>
  </si>
  <si>
    <t xml:space="preserve"> (2324.2744 [hp])</t>
  </si>
  <si>
    <t xml:space="preserve"> [N/kW]</t>
  </si>
  <si>
    <t xml:space="preserve"> (8.7894) ([lb/hp])</t>
  </si>
  <si>
    <t xml:space="preserve"> [N/m^2]</t>
  </si>
  <si>
    <t xml:space="preserve"> (9.6967 [lb/ft^2])</t>
  </si>
  <si>
    <t xml:space="preserve"> (429.9797 [hp])</t>
  </si>
  <si>
    <t xml:space="preserve"> (2754.2541 [hp])</t>
  </si>
  <si>
    <t xml:space="preserve"> [kg/m^3]</t>
  </si>
  <si>
    <t xml:space="preserve"> (2472.3683) [hp])</t>
  </si>
  <si>
    <t>Landing Gear Computation</t>
  </si>
  <si>
    <t>Noise LG</t>
  </si>
  <si>
    <t>Main 1 LG</t>
  </si>
  <si>
    <t>Main 2 LG</t>
  </si>
  <si>
    <t>c.g. LG</t>
  </si>
  <si>
    <t>Distance between centroid and NLG</t>
  </si>
  <si>
    <t>Distance beween centroid and MLG</t>
  </si>
  <si>
    <t>Distance between xz plane and MLG</t>
  </si>
  <si>
    <t>c.g. position (empty) - hub</t>
  </si>
  <si>
    <t>h1</t>
  </si>
  <si>
    <t>k1</t>
  </si>
  <si>
    <t>k2</t>
  </si>
  <si>
    <t>c1</t>
  </si>
  <si>
    <t>c2</t>
  </si>
  <si>
    <t>FUSELAGE MASS and INERTIA  is NOT  the FULL HELICOPTER MASS/INERTIA</t>
  </si>
  <si>
    <t>Blade mass /inertia are evaluated separately</t>
  </si>
  <si>
    <t>Shat/hub mass/inertia is small/neglibile</t>
  </si>
  <si>
    <t xml:space="preserve">Helicopter mass [kg] </t>
  </si>
  <si>
    <t xml:space="preserve">Helicopter moment of inertia roll [kg*m^2] </t>
  </si>
  <si>
    <t xml:space="preserve">Helicopter moment of inertia pitch [kg*m^2] </t>
  </si>
  <si>
    <t xml:space="preserve">Vertical distance helicopter C.G. - rotor center [m] </t>
  </si>
  <si>
    <t xml:space="preserve">Landing gear wheel track [m] </t>
  </si>
  <si>
    <t>Landing gear wheel base [m]</t>
  </si>
  <si>
    <t xml:space="preserve">Longitudinal distance helicopter C.G. - main gear [m] </t>
  </si>
  <si>
    <t xml:space="preserve">Landing gear maximum stroke [m] </t>
  </si>
  <si>
    <t xml:space="preserve">Landing gear static stroke, fraction of max stroke (0-1) </t>
  </si>
  <si>
    <t xml:space="preserve">m.r. radius [m] </t>
  </si>
  <si>
    <t xml:space="preserve">m.r. angular velocity [rad/s] </t>
  </si>
  <si>
    <t xml:space="preserve">m.r. n° of blades </t>
  </si>
  <si>
    <t xml:space="preserve">Blade mass per unit of length [kg/m] </t>
  </si>
  <si>
    <t xml:space="preserve">Lag hinge offset [n.d.] </t>
  </si>
  <si>
    <t xml:space="preserve">Lag spring stiffness [N*m/rad]  </t>
  </si>
  <si>
    <t>distance between main landing gear to the nose landing gear</t>
  </si>
  <si>
    <t>lateral distance between main landing gear</t>
  </si>
  <si>
    <t>Iyy_fuselage</t>
  </si>
  <si>
    <t>Search an pursuit</t>
  </si>
  <si>
    <t xml:space="preserve"> 0.21012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</si>
</sst>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0" borderId="0" xfId="0" applyFont="1"/>
    <xf numFmtId="0" fontId="16" fillId="0" borderId="10" xfId="0" applyFont="1" applyBorder="1" applyAlignment="1">
      <alignment vertical="center" wrapText="1"/>
    </xf>
    <xf numFmtId="0" fontId="16" fillId="0" borderId="14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33" borderId="11" xfId="0" applyFill="1" applyBorder="1"/>
    <xf numFmtId="0" fontId="0" fillId="33" borderId="12" xfId="0" applyFill="1" applyBorder="1"/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horizontal="left" vertical="center" wrapText="1"/>
    </xf>
    <xf numFmtId="0" fontId="0" fillId="0" borderId="17" xfId="0" applyBorder="1"/>
    <xf numFmtId="0" fontId="0" fillId="0" borderId="15" xfId="0" applyBorder="1"/>
    <xf numFmtId="0" fontId="0" fillId="0" borderId="10" xfId="0" applyBorder="1"/>
    <xf numFmtId="0" fontId="0" fillId="0" borderId="18" xfId="0" applyBorder="1"/>
    <xf numFmtId="0" fontId="0" fillId="0" borderId="14" xfId="0" applyBorder="1"/>
    <xf numFmtId="0" fontId="18" fillId="0" borderId="0" xfId="0" applyFont="1"/>
    <xf numFmtId="0" fontId="0" fillId="35" borderId="12" xfId="0" applyFill="1" applyBorder="1"/>
    <xf numFmtId="2" fontId="0" fillId="0" borderId="19" xfId="0" applyNumberFormat="1" applyBorder="1"/>
    <xf numFmtId="2" fontId="0" fillId="0" borderId="20" xfId="0" applyNumberFormat="1" applyBorder="1"/>
    <xf numFmtId="2" fontId="0" fillId="34" borderId="20" xfId="0" applyNumberFormat="1" applyFill="1" applyBorder="1"/>
    <xf numFmtId="2" fontId="0" fillId="34" borderId="15" xfId="0" applyNumberFormat="1" applyFill="1" applyBorder="1"/>
    <xf numFmtId="164" fontId="0" fillId="0" borderId="0" xfId="0" applyNumberFormat="1"/>
    <xf numFmtId="164" fontId="0" fillId="0" borderId="11" xfId="0" applyNumberFormat="1" applyBorder="1"/>
    <xf numFmtId="164" fontId="0" fillId="0" borderId="12" xfId="0" applyNumberFormat="1" applyBorder="1"/>
    <xf numFmtId="164" fontId="0" fillId="34" borderId="12" xfId="0" applyNumberFormat="1" applyFill="1" applyBorder="1"/>
    <xf numFmtId="164" fontId="0" fillId="34" borderId="13" xfId="0" applyNumberFormat="1" applyFill="1" applyBorder="1"/>
    <xf numFmtId="165" fontId="0" fillId="0" borderId="0" xfId="0" applyNumberFormat="1"/>
    <xf numFmtId="11" fontId="0" fillId="0" borderId="0" xfId="0" applyNumberFormat="1"/>
    <xf numFmtId="0" fontId="16" fillId="0" borderId="16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441960</xdr:colOff>
      <xdr:row>6</xdr:row>
      <xdr:rowOff>160020</xdr:rowOff>
    </xdr:from>
    <xdr:to>
      <xdr:col>13</xdr:col>
      <xdr:colOff>0</xdr:colOff>
      <xdr:row>16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8EDCEA-1BEF-435E-9BE9-C33646683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264920"/>
          <a:ext cx="3215640" cy="1783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198120</xdr:colOff>
      <xdr:row>6</xdr:row>
      <xdr:rowOff>68580</xdr:rowOff>
    </xdr:from>
    <xdr:to>
      <xdr:col>19</xdr:col>
      <xdr:colOff>30480</xdr:colOff>
      <xdr:row>17</xdr:row>
      <xdr:rowOff>68580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B4240424-E924-4BF8-AF14-918138A1E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7060" y="1173480"/>
          <a:ext cx="3489960" cy="2011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92"/>
  <sheetViews>
    <sheetView tabSelected="1" topLeftCell="A22" workbookViewId="0">
      <selection activeCell="J31" sqref="J31"/>
    </sheetView>
  </sheetViews>
  <sheetFormatPr defaultRowHeight="14.5" x14ac:dyDescent="0.35"/>
  <cols>
    <col min="1" max="1" width="7.54296875" customWidth="1"/>
    <col min="2" max="2" width="42" bestFit="1" customWidth="1"/>
    <col min="3" max="3" width="20.08984375" customWidth="1"/>
    <col min="4" max="4" width="8.6328125" bestFit="1" customWidth="1"/>
    <col min="7" max="7" width="44.6328125" bestFit="1" customWidth="1"/>
    <col min="8" max="8" width="11" bestFit="1" customWidth="1"/>
    <col min="9" max="9" width="8.6328125" bestFit="1" customWidth="1"/>
    <col min="10" max="10" width="23" bestFit="1" customWidth="1"/>
  </cols>
  <sheetData>
    <row r="2" spans="2:9" ht="15" thickBot="1" x14ac:dyDescent="0.4">
      <c r="B2" s="4" t="s">
        <v>105</v>
      </c>
      <c r="G2" s="4" t="s">
        <v>106</v>
      </c>
    </row>
    <row r="3" spans="2:9" ht="29.5" thickBot="1" x14ac:dyDescent="0.4">
      <c r="B3" s="5" t="s">
        <v>77</v>
      </c>
      <c r="C3" s="6" t="s">
        <v>104</v>
      </c>
      <c r="G3" s="9" t="s">
        <v>0</v>
      </c>
      <c r="H3">
        <v>110.7546</v>
      </c>
      <c r="I3" s="1" t="s">
        <v>180</v>
      </c>
    </row>
    <row r="4" spans="2:9" ht="15" thickBot="1" x14ac:dyDescent="0.4">
      <c r="B4" s="7" t="s">
        <v>78</v>
      </c>
      <c r="C4" s="8">
        <v>3</v>
      </c>
      <c r="G4" s="2" t="s">
        <v>1</v>
      </c>
      <c r="H4">
        <v>1.0367999999999999</v>
      </c>
      <c r="I4" s="2"/>
    </row>
    <row r="5" spans="2:9" ht="15" thickBot="1" x14ac:dyDescent="0.4">
      <c r="B5" s="7" t="s">
        <v>79</v>
      </c>
      <c r="C5" s="8">
        <v>0.05</v>
      </c>
      <c r="G5" s="2" t="s">
        <v>2</v>
      </c>
      <c r="H5">
        <v>0.47083000000000003</v>
      </c>
      <c r="I5" s="2" t="s">
        <v>181</v>
      </c>
    </row>
    <row r="6" spans="2:9" ht="15" thickBot="1" x14ac:dyDescent="0.4">
      <c r="B6" s="7" t="s">
        <v>80</v>
      </c>
      <c r="C6" s="8">
        <v>2</v>
      </c>
      <c r="G6" s="2" t="s">
        <v>3</v>
      </c>
      <c r="H6">
        <v>5.2233000000000001</v>
      </c>
      <c r="I6" s="2"/>
    </row>
    <row r="7" spans="2:9" ht="15" thickBot="1" x14ac:dyDescent="0.4">
      <c r="B7" s="7" t="s">
        <v>81</v>
      </c>
      <c r="C7" s="8">
        <v>1</v>
      </c>
      <c r="G7" s="10" t="s">
        <v>4</v>
      </c>
      <c r="H7">
        <v>51.082799999999999</v>
      </c>
      <c r="I7" s="2" t="s">
        <v>180</v>
      </c>
    </row>
    <row r="8" spans="2:9" ht="15" thickBot="1" x14ac:dyDescent="0.4">
      <c r="B8" s="7" t="s">
        <v>82</v>
      </c>
      <c r="C8" s="8">
        <v>0.23</v>
      </c>
      <c r="G8" s="2" t="s">
        <v>5</v>
      </c>
      <c r="I8" s="2"/>
    </row>
    <row r="9" spans="2:9" ht="15" thickBot="1" x14ac:dyDescent="0.4">
      <c r="B9" s="7" t="s">
        <v>83</v>
      </c>
      <c r="C9" s="8">
        <v>1</v>
      </c>
      <c r="G9" s="10" t="s">
        <v>6</v>
      </c>
      <c r="H9">
        <v>4.4862000000000002</v>
      </c>
      <c r="I9" s="2" t="s">
        <v>180</v>
      </c>
    </row>
    <row r="10" spans="2:9" ht="15" thickBot="1" x14ac:dyDescent="0.4">
      <c r="B10" s="7" t="s">
        <v>84</v>
      </c>
      <c r="C10" s="8">
        <v>3</v>
      </c>
      <c r="G10" s="2" t="s">
        <v>5</v>
      </c>
      <c r="I10" s="2"/>
    </row>
    <row r="11" spans="2:9" ht="15" thickBot="1" x14ac:dyDescent="0.4">
      <c r="B11" s="7" t="s">
        <v>85</v>
      </c>
      <c r="C11" s="8">
        <v>2</v>
      </c>
      <c r="G11" s="10" t="s">
        <v>7</v>
      </c>
      <c r="H11">
        <v>249.45740000000001</v>
      </c>
      <c r="I11" s="2" t="s">
        <v>180</v>
      </c>
    </row>
    <row r="12" spans="2:9" ht="15" thickBot="1" x14ac:dyDescent="0.4">
      <c r="B12" s="7" t="s">
        <v>86</v>
      </c>
      <c r="C12" s="8"/>
      <c r="G12" s="2" t="s">
        <v>8</v>
      </c>
      <c r="H12">
        <v>7.2488999999999999</v>
      </c>
      <c r="I12" s="2" t="s">
        <v>181</v>
      </c>
    </row>
    <row r="13" spans="2:9" ht="15" thickBot="1" x14ac:dyDescent="0.4">
      <c r="B13" s="7" t="s">
        <v>87</v>
      </c>
      <c r="C13" s="8"/>
      <c r="G13" s="2" t="s">
        <v>9</v>
      </c>
      <c r="H13">
        <v>2</v>
      </c>
      <c r="I13" s="2" t="s">
        <v>181</v>
      </c>
    </row>
    <row r="14" spans="2:9" ht="15" thickBot="1" x14ac:dyDescent="0.4">
      <c r="B14" s="31" t="s">
        <v>240</v>
      </c>
      <c r="C14" s="32"/>
      <c r="G14" s="2" t="s">
        <v>5</v>
      </c>
      <c r="I14" s="2"/>
    </row>
    <row r="15" spans="2:9" ht="15" thickBot="1" x14ac:dyDescent="0.4">
      <c r="B15" s="7" t="s">
        <v>88</v>
      </c>
      <c r="C15" s="8">
        <v>360</v>
      </c>
      <c r="G15" s="10" t="s">
        <v>10</v>
      </c>
      <c r="H15">
        <v>61.859200000000001</v>
      </c>
      <c r="I15" s="2" t="s">
        <v>180</v>
      </c>
    </row>
    <row r="16" spans="2:9" ht="15" thickBot="1" x14ac:dyDescent="0.4">
      <c r="B16" s="7" t="s">
        <v>89</v>
      </c>
      <c r="C16" s="8">
        <v>170</v>
      </c>
      <c r="G16" s="2" t="s">
        <v>5</v>
      </c>
      <c r="I16" s="2"/>
    </row>
    <row r="17" spans="2:10" ht="15" thickBot="1" x14ac:dyDescent="0.4">
      <c r="B17" s="7" t="s">
        <v>90</v>
      </c>
      <c r="C17" s="8">
        <v>55</v>
      </c>
      <c r="G17" s="10" t="s">
        <v>11</v>
      </c>
      <c r="H17">
        <v>111.7822</v>
      </c>
      <c r="I17" s="2" t="s">
        <v>180</v>
      </c>
    </row>
    <row r="18" spans="2:10" ht="15" thickBot="1" x14ac:dyDescent="0.4">
      <c r="B18" s="7" t="s">
        <v>91</v>
      </c>
      <c r="C18" s="8">
        <v>600</v>
      </c>
      <c r="G18" s="2" t="s">
        <v>12</v>
      </c>
      <c r="H18">
        <v>2</v>
      </c>
      <c r="I18" s="2"/>
    </row>
    <row r="19" spans="2:10" ht="15" thickBot="1" x14ac:dyDescent="0.4">
      <c r="B19" s="7" t="s">
        <v>92</v>
      </c>
      <c r="C19" s="15">
        <v>1.1115999999999999</v>
      </c>
      <c r="G19" s="2" t="s">
        <v>5</v>
      </c>
      <c r="I19" s="2"/>
    </row>
    <row r="20" spans="2:10" ht="15" thickBot="1" x14ac:dyDescent="0.4">
      <c r="B20" s="31" t="s">
        <v>240</v>
      </c>
      <c r="C20" s="32"/>
      <c r="G20" s="10" t="s">
        <v>13</v>
      </c>
      <c r="H20">
        <v>13.311299999999999</v>
      </c>
      <c r="I20" s="2" t="s">
        <v>180</v>
      </c>
    </row>
    <row r="21" spans="2:10" ht="15" thickBot="1" x14ac:dyDescent="0.4">
      <c r="B21" s="7" t="s">
        <v>93</v>
      </c>
      <c r="C21" s="8">
        <v>190</v>
      </c>
      <c r="G21" s="2" t="s">
        <v>5</v>
      </c>
      <c r="I21" s="2"/>
    </row>
    <row r="22" spans="2:10" ht="15" thickBot="1" x14ac:dyDescent="0.4">
      <c r="B22" s="7" t="s">
        <v>94</v>
      </c>
      <c r="C22" s="8">
        <v>85</v>
      </c>
      <c r="G22" s="10" t="s">
        <v>14</v>
      </c>
      <c r="H22">
        <v>76.126300000000001</v>
      </c>
      <c r="I22" s="2" t="s">
        <v>180</v>
      </c>
    </row>
    <row r="23" spans="2:10" ht="15" thickBot="1" x14ac:dyDescent="0.4">
      <c r="B23" s="7" t="s">
        <v>95</v>
      </c>
      <c r="C23" s="8">
        <v>50</v>
      </c>
      <c r="G23" s="2" t="s">
        <v>5</v>
      </c>
      <c r="I23" s="2"/>
    </row>
    <row r="24" spans="2:10" ht="15" thickBot="1" x14ac:dyDescent="0.4">
      <c r="B24" s="7" t="s">
        <v>96</v>
      </c>
      <c r="C24" s="8">
        <v>3.5</v>
      </c>
      <c r="G24" s="10" t="s">
        <v>15</v>
      </c>
      <c r="H24">
        <v>89.195700000000002</v>
      </c>
      <c r="I24" s="2" t="s">
        <v>180</v>
      </c>
    </row>
    <row r="25" spans="2:10" ht="15" thickBot="1" x14ac:dyDescent="0.4">
      <c r="B25" s="7" t="s">
        <v>97</v>
      </c>
      <c r="C25" s="8">
        <v>1.2250000000000001</v>
      </c>
      <c r="G25" s="2" t="s">
        <v>5</v>
      </c>
      <c r="I25" s="2"/>
    </row>
    <row r="26" spans="2:10" ht="15" thickBot="1" x14ac:dyDescent="0.4">
      <c r="B26" s="7" t="s">
        <v>98</v>
      </c>
      <c r="C26" s="8">
        <v>2</v>
      </c>
      <c r="G26" s="10" t="s">
        <v>16</v>
      </c>
      <c r="H26">
        <v>233.40360000000001</v>
      </c>
      <c r="I26" s="2" t="s">
        <v>180</v>
      </c>
    </row>
    <row r="27" spans="2:10" ht="15" thickBot="1" x14ac:dyDescent="0.4">
      <c r="B27" s="7" t="s">
        <v>99</v>
      </c>
      <c r="C27" s="8">
        <v>0.63</v>
      </c>
      <c r="G27" s="2" t="s">
        <v>17</v>
      </c>
      <c r="I27" s="2"/>
    </row>
    <row r="28" spans="2:10" ht="15" thickBot="1" x14ac:dyDescent="0.4">
      <c r="B28" s="7" t="s">
        <v>100</v>
      </c>
      <c r="C28" s="8">
        <v>1</v>
      </c>
      <c r="G28" s="10" t="s">
        <v>18</v>
      </c>
      <c r="H28">
        <v>1171.4593</v>
      </c>
      <c r="I28" s="2" t="s">
        <v>180</v>
      </c>
      <c r="J28" s="33">
        <v>1489.26</v>
      </c>
    </row>
    <row r="29" spans="2:10" ht="15" thickBot="1" x14ac:dyDescent="0.4">
      <c r="B29" s="7" t="s">
        <v>101</v>
      </c>
      <c r="C29" s="8">
        <v>4.5999999999999996</v>
      </c>
      <c r="G29" s="2" t="s">
        <v>19</v>
      </c>
      <c r="I29" s="2"/>
      <c r="J29">
        <v>7461.5389990886597</v>
      </c>
    </row>
    <row r="30" spans="2:10" ht="29.5" thickBot="1" x14ac:dyDescent="0.4">
      <c r="B30" s="7" t="s">
        <v>102</v>
      </c>
      <c r="C30" s="8">
        <v>1</v>
      </c>
      <c r="G30" s="2" t="s">
        <v>20</v>
      </c>
      <c r="H30">
        <v>1.0407999999999999</v>
      </c>
      <c r="I30" s="2" t="s">
        <v>182</v>
      </c>
    </row>
    <row r="31" spans="2:10" ht="29.5" thickBot="1" x14ac:dyDescent="0.4">
      <c r="B31" s="7" t="s">
        <v>103</v>
      </c>
      <c r="C31" s="8">
        <v>13</v>
      </c>
      <c r="G31" s="2" t="s">
        <v>21</v>
      </c>
      <c r="I31" s="2"/>
    </row>
    <row r="32" spans="2:10" x14ac:dyDescent="0.35">
      <c r="G32" s="2" t="s">
        <v>22</v>
      </c>
      <c r="H32">
        <v>1736.8006</v>
      </c>
      <c r="I32" s="2" t="s">
        <v>180</v>
      </c>
      <c r="J32" s="33">
        <v>2207.85</v>
      </c>
    </row>
    <row r="33" spans="7:10" x14ac:dyDescent="0.35">
      <c r="G33" s="2" t="s">
        <v>23</v>
      </c>
      <c r="H33">
        <v>205.34129999999999</v>
      </c>
      <c r="I33" s="2" t="s">
        <v>180</v>
      </c>
      <c r="J33" s="33">
        <v>11061.98</v>
      </c>
    </row>
    <row r="34" spans="7:10" x14ac:dyDescent="0.35">
      <c r="G34" s="2" t="s">
        <v>24</v>
      </c>
      <c r="I34" s="2"/>
    </row>
    <row r="35" spans="7:10" x14ac:dyDescent="0.35">
      <c r="G35" s="2" t="s">
        <v>25</v>
      </c>
      <c r="H35">
        <v>1972.9437</v>
      </c>
      <c r="I35" s="2" t="s">
        <v>180</v>
      </c>
    </row>
    <row r="36" spans="7:10" x14ac:dyDescent="0.35">
      <c r="G36" s="2" t="s">
        <v>26</v>
      </c>
      <c r="H36">
        <v>696.48440000000005</v>
      </c>
      <c r="I36" s="2" t="s">
        <v>180</v>
      </c>
    </row>
    <row r="37" spans="7:10" x14ac:dyDescent="0.35">
      <c r="G37" s="2" t="s">
        <v>27</v>
      </c>
      <c r="I37" s="2"/>
    </row>
    <row r="38" spans="7:10" x14ac:dyDescent="0.35">
      <c r="G38" s="2" t="s">
        <v>28</v>
      </c>
      <c r="H38">
        <v>1972.9437</v>
      </c>
      <c r="I38" s="2" t="s">
        <v>183</v>
      </c>
    </row>
    <row r="39" spans="7:10" x14ac:dyDescent="0.35">
      <c r="G39" s="2" t="s">
        <v>184</v>
      </c>
      <c r="I39" s="2"/>
    </row>
    <row r="40" spans="7:10" x14ac:dyDescent="0.35">
      <c r="G40" s="2" t="s">
        <v>29</v>
      </c>
      <c r="H40">
        <v>2508.1882999999998</v>
      </c>
      <c r="I40" s="2" t="s">
        <v>185</v>
      </c>
    </row>
    <row r="41" spans="7:10" x14ac:dyDescent="0.35">
      <c r="G41" s="2" t="s">
        <v>30</v>
      </c>
      <c r="H41">
        <v>12566.5453</v>
      </c>
      <c r="I41" s="2" t="s">
        <v>185</v>
      </c>
    </row>
    <row r="42" spans="7:10" x14ac:dyDescent="0.35">
      <c r="G42" s="2" t="s">
        <v>31</v>
      </c>
      <c r="H42">
        <v>12004.983</v>
      </c>
      <c r="I42" s="2" t="s">
        <v>185</v>
      </c>
    </row>
    <row r="43" spans="7:10" x14ac:dyDescent="0.35">
      <c r="G43" s="2" t="s">
        <v>24</v>
      </c>
      <c r="I43" s="2"/>
    </row>
    <row r="44" spans="7:10" x14ac:dyDescent="0.35">
      <c r="G44" s="2" t="s">
        <v>32</v>
      </c>
      <c r="I44" s="2"/>
    </row>
    <row r="45" spans="7:10" x14ac:dyDescent="0.35">
      <c r="G45" s="2" t="s">
        <v>33</v>
      </c>
      <c r="H45">
        <v>3</v>
      </c>
      <c r="I45" s="2"/>
    </row>
    <row r="46" spans="7:10" x14ac:dyDescent="0.35">
      <c r="G46" s="2" t="s">
        <v>34</v>
      </c>
      <c r="H46">
        <v>4.4101999999999997</v>
      </c>
      <c r="I46" s="2" t="s">
        <v>181</v>
      </c>
      <c r="J46" t="s">
        <v>186</v>
      </c>
    </row>
    <row r="47" spans="7:10" x14ac:dyDescent="0.35">
      <c r="G47" s="2" t="s">
        <v>35</v>
      </c>
      <c r="H47">
        <v>43.682499999999997</v>
      </c>
      <c r="I47" s="2" t="s">
        <v>187</v>
      </c>
    </row>
    <row r="48" spans="7:10" x14ac:dyDescent="0.35">
      <c r="G48" s="2" t="s">
        <v>36</v>
      </c>
      <c r="H48">
        <v>192.64699999999999</v>
      </c>
      <c r="I48" s="2" t="s">
        <v>188</v>
      </c>
      <c r="J48" t="s">
        <v>189</v>
      </c>
    </row>
    <row r="49" spans="7:12" x14ac:dyDescent="0.35">
      <c r="G49" s="2" t="s">
        <v>37</v>
      </c>
      <c r="H49">
        <v>0.10195</v>
      </c>
      <c r="I49" s="2"/>
    </row>
    <row r="50" spans="7:12" x14ac:dyDescent="0.35">
      <c r="G50" s="10" t="s">
        <v>38</v>
      </c>
      <c r="H50" s="30">
        <v>0.52407999999999999</v>
      </c>
      <c r="I50" s="2" t="s">
        <v>181</v>
      </c>
    </row>
    <row r="51" spans="7:12" x14ac:dyDescent="0.35">
      <c r="G51" s="2" t="s">
        <v>39</v>
      </c>
      <c r="H51">
        <v>3.7146000000000002E-3</v>
      </c>
      <c r="I51" s="2" t="s">
        <v>190</v>
      </c>
    </row>
    <row r="52" spans="7:12" x14ac:dyDescent="0.35">
      <c r="G52" s="2" t="s">
        <v>41</v>
      </c>
      <c r="H52">
        <v>0.47083000000000003</v>
      </c>
      <c r="I52" s="2" t="s">
        <v>181</v>
      </c>
    </row>
    <row r="53" spans="7:12" x14ac:dyDescent="0.35">
      <c r="G53" s="10" t="s">
        <v>42</v>
      </c>
      <c r="H53">
        <v>0.45307999999999998</v>
      </c>
      <c r="I53" s="2" t="s">
        <v>181</v>
      </c>
      <c r="L53" s="30"/>
    </row>
    <row r="54" spans="7:12" x14ac:dyDescent="0.35">
      <c r="G54" s="2" t="s">
        <v>43</v>
      </c>
      <c r="H54">
        <v>-0.55569000000000002</v>
      </c>
      <c r="I54" s="2" t="s">
        <v>191</v>
      </c>
      <c r="J54" t="s">
        <v>192</v>
      </c>
    </row>
    <row r="55" spans="7:12" x14ac:dyDescent="0.35">
      <c r="G55" s="2" t="s">
        <v>44</v>
      </c>
      <c r="H55">
        <v>9.6211000000000002</v>
      </c>
      <c r="I55" s="2" t="s">
        <v>193</v>
      </c>
    </row>
    <row r="56" spans="7:12" x14ac:dyDescent="0.35">
      <c r="G56" s="2" t="s">
        <v>45</v>
      </c>
      <c r="H56">
        <v>11.459199999999999</v>
      </c>
      <c r="I56" s="2" t="s">
        <v>193</v>
      </c>
    </row>
    <row r="57" spans="7:12" x14ac:dyDescent="0.35">
      <c r="G57" s="2" t="s">
        <v>46</v>
      </c>
      <c r="H57">
        <v>19354.577300000001</v>
      </c>
      <c r="I57" s="2" t="s">
        <v>194</v>
      </c>
    </row>
    <row r="58" spans="7:12" x14ac:dyDescent="0.35">
      <c r="G58" s="2" t="s">
        <v>47</v>
      </c>
      <c r="H58">
        <v>19354.577300000001</v>
      </c>
      <c r="I58" s="2" t="s">
        <v>194</v>
      </c>
    </row>
    <row r="59" spans="7:12" x14ac:dyDescent="0.35">
      <c r="G59" s="2" t="s">
        <v>48</v>
      </c>
      <c r="H59">
        <v>297.45049999999998</v>
      </c>
      <c r="I59" s="2" t="s">
        <v>195</v>
      </c>
      <c r="J59" t="s">
        <v>196</v>
      </c>
    </row>
    <row r="60" spans="7:12" x14ac:dyDescent="0.35">
      <c r="G60" s="2" t="s">
        <v>49</v>
      </c>
      <c r="H60">
        <v>273.28769999999997</v>
      </c>
      <c r="I60" s="2" t="s">
        <v>195</v>
      </c>
    </row>
    <row r="61" spans="7:12" x14ac:dyDescent="0.35">
      <c r="G61" s="2" t="s">
        <v>50</v>
      </c>
      <c r="H61">
        <v>24.162800000000001</v>
      </c>
      <c r="I61" s="2" t="s">
        <v>195</v>
      </c>
    </row>
    <row r="62" spans="7:12" x14ac:dyDescent="0.35">
      <c r="G62" s="2" t="s">
        <v>51</v>
      </c>
      <c r="H62">
        <v>65.068200000000004</v>
      </c>
      <c r="I62" s="2" t="s">
        <v>197</v>
      </c>
      <c r="J62" t="s">
        <v>198</v>
      </c>
    </row>
    <row r="63" spans="7:12" x14ac:dyDescent="0.35">
      <c r="G63" s="2" t="s">
        <v>52</v>
      </c>
      <c r="H63">
        <v>316.75569999999999</v>
      </c>
      <c r="I63" s="2" t="s">
        <v>199</v>
      </c>
      <c r="J63" t="s">
        <v>200</v>
      </c>
    </row>
    <row r="64" spans="7:12" x14ac:dyDescent="0.35">
      <c r="G64" s="2" t="s">
        <v>53</v>
      </c>
      <c r="H64">
        <v>0.73985999999999996</v>
      </c>
      <c r="I64" s="2"/>
    </row>
    <row r="65" spans="7:10" x14ac:dyDescent="0.35">
      <c r="G65" s="2" t="s">
        <v>54</v>
      </c>
      <c r="H65">
        <v>6.8340999999999999E-2</v>
      </c>
      <c r="I65" s="2"/>
    </row>
    <row r="66" spans="7:10" x14ac:dyDescent="0.35">
      <c r="G66" s="2" t="s">
        <v>5</v>
      </c>
      <c r="I66" s="2"/>
    </row>
    <row r="67" spans="7:10" x14ac:dyDescent="0.35">
      <c r="G67" s="2" t="s">
        <v>55</v>
      </c>
      <c r="I67" s="2"/>
    </row>
    <row r="68" spans="7:10" x14ac:dyDescent="0.35">
      <c r="G68" s="2" t="s">
        <v>33</v>
      </c>
      <c r="H68">
        <v>2</v>
      </c>
      <c r="I68" s="2"/>
    </row>
    <row r="69" spans="7:10" x14ac:dyDescent="0.35">
      <c r="G69" s="2" t="s">
        <v>34</v>
      </c>
      <c r="H69">
        <v>0.4793</v>
      </c>
      <c r="I69" s="2" t="s">
        <v>181</v>
      </c>
    </row>
    <row r="70" spans="7:10" x14ac:dyDescent="0.35">
      <c r="G70" s="2" t="s">
        <v>35</v>
      </c>
      <c r="H70">
        <v>376.6216</v>
      </c>
      <c r="I70" s="2" t="s">
        <v>187</v>
      </c>
    </row>
    <row r="71" spans="7:10" x14ac:dyDescent="0.35">
      <c r="G71" s="2" t="s">
        <v>56</v>
      </c>
      <c r="H71" t="s">
        <v>241</v>
      </c>
      <c r="I71" s="2" t="s">
        <v>181</v>
      </c>
    </row>
    <row r="72" spans="7:10" x14ac:dyDescent="0.35">
      <c r="G72" s="2" t="s">
        <v>57</v>
      </c>
      <c r="H72">
        <v>25.937200000000001</v>
      </c>
      <c r="I72" s="2" t="s">
        <v>193</v>
      </c>
    </row>
    <row r="73" spans="7:10" x14ac:dyDescent="0.35">
      <c r="G73" s="2" t="s">
        <v>58</v>
      </c>
      <c r="H73">
        <v>1392.6628000000001</v>
      </c>
      <c r="I73" s="2" t="s">
        <v>194</v>
      </c>
    </row>
    <row r="74" spans="7:10" x14ac:dyDescent="0.35">
      <c r="G74" s="2" t="s">
        <v>59</v>
      </c>
      <c r="H74">
        <v>1392.6628000000001</v>
      </c>
      <c r="I74" s="2" t="s">
        <v>194</v>
      </c>
    </row>
    <row r="75" spans="7:10" x14ac:dyDescent="0.35">
      <c r="G75" s="2" t="s">
        <v>60</v>
      </c>
      <c r="H75">
        <v>44.968899999999998</v>
      </c>
      <c r="I75" s="2" t="s">
        <v>195</v>
      </c>
      <c r="J75" t="s">
        <v>201</v>
      </c>
    </row>
    <row r="76" spans="7:10" x14ac:dyDescent="0.35">
      <c r="G76" s="2" t="s">
        <v>61</v>
      </c>
      <c r="I76" s="2"/>
    </row>
    <row r="77" spans="7:10" x14ac:dyDescent="0.35">
      <c r="G77" s="2" t="s">
        <v>62</v>
      </c>
      <c r="H77">
        <v>342.4194</v>
      </c>
      <c r="I77" s="2" t="s">
        <v>195</v>
      </c>
      <c r="J77" t="s">
        <v>202</v>
      </c>
    </row>
    <row r="78" spans="7:10" x14ac:dyDescent="0.35">
      <c r="G78" s="2" t="s">
        <v>63</v>
      </c>
      <c r="I78" s="2"/>
    </row>
    <row r="79" spans="7:10" x14ac:dyDescent="0.35">
      <c r="G79" s="2" t="s">
        <v>64</v>
      </c>
      <c r="I79" s="2"/>
    </row>
    <row r="80" spans="7:10" x14ac:dyDescent="0.35">
      <c r="G80" s="2" t="s">
        <v>65</v>
      </c>
      <c r="H80">
        <v>55</v>
      </c>
      <c r="I80" s="2" t="s">
        <v>188</v>
      </c>
    </row>
    <row r="81" spans="7:10" x14ac:dyDescent="0.35">
      <c r="G81" s="2" t="s">
        <v>66</v>
      </c>
      <c r="H81">
        <v>1.1115999999999999</v>
      </c>
      <c r="I81" s="2" t="s">
        <v>203</v>
      </c>
    </row>
    <row r="82" spans="7:10" x14ac:dyDescent="0.35">
      <c r="G82" s="2" t="s">
        <v>67</v>
      </c>
      <c r="H82">
        <v>9.2476000000000003</v>
      </c>
      <c r="I82" s="2" t="s">
        <v>193</v>
      </c>
    </row>
    <row r="83" spans="7:10" x14ac:dyDescent="0.35">
      <c r="G83" s="2" t="s">
        <v>68</v>
      </c>
      <c r="H83">
        <v>7.2775999999999996</v>
      </c>
      <c r="I83" s="2" t="s">
        <v>193</v>
      </c>
    </row>
    <row r="84" spans="7:10" x14ac:dyDescent="0.35">
      <c r="G84" s="2" t="s">
        <v>69</v>
      </c>
      <c r="H84">
        <v>5.0414000000000003</v>
      </c>
      <c r="I84" s="2" t="s">
        <v>193</v>
      </c>
    </row>
    <row r="85" spans="7:10" x14ac:dyDescent="0.35">
      <c r="G85" s="2" t="s">
        <v>70</v>
      </c>
      <c r="H85">
        <v>3.3677000000000001</v>
      </c>
      <c r="I85" s="2" t="s">
        <v>193</v>
      </c>
    </row>
    <row r="86" spans="7:10" x14ac:dyDescent="0.35">
      <c r="G86" s="2" t="s">
        <v>179</v>
      </c>
      <c r="I86" s="2" t="s">
        <v>193</v>
      </c>
    </row>
    <row r="87" spans="7:10" x14ac:dyDescent="0.35">
      <c r="G87" s="2" t="s">
        <v>71</v>
      </c>
      <c r="H87">
        <v>8.4785000000000004</v>
      </c>
      <c r="I87" s="2" t="s">
        <v>193</v>
      </c>
    </row>
    <row r="88" spans="7:10" x14ac:dyDescent="0.35">
      <c r="G88" s="2" t="s">
        <v>72</v>
      </c>
      <c r="H88">
        <v>9.5505999999999993</v>
      </c>
      <c r="I88" s="2" t="s">
        <v>193</v>
      </c>
    </row>
    <row r="89" spans="7:10" x14ac:dyDescent="0.35">
      <c r="G89" s="2" t="s">
        <v>73</v>
      </c>
      <c r="I89" s="2"/>
    </row>
    <row r="90" spans="7:10" x14ac:dyDescent="0.35">
      <c r="G90" s="2" t="s">
        <v>74</v>
      </c>
      <c r="H90">
        <v>282.40280000000001</v>
      </c>
      <c r="I90" s="2" t="s">
        <v>195</v>
      </c>
      <c r="J90" t="s">
        <v>204</v>
      </c>
    </row>
    <row r="91" spans="7:10" x14ac:dyDescent="0.35">
      <c r="G91" s="2" t="s">
        <v>75</v>
      </c>
      <c r="H91">
        <v>19885.364000000001</v>
      </c>
      <c r="I91" s="2" t="s">
        <v>194</v>
      </c>
    </row>
    <row r="92" spans="7:10" ht="15" thickBot="1" x14ac:dyDescent="0.4">
      <c r="G92" s="3" t="s">
        <v>76</v>
      </c>
      <c r="H92">
        <v>19885.364000000001</v>
      </c>
      <c r="I92" s="3" t="s">
        <v>194</v>
      </c>
    </row>
  </sheetData>
  <mergeCells count="2">
    <mergeCell ref="B14:C14"/>
    <mergeCell ref="B20:C20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4C44-CBB7-4855-A524-258940EADC57}">
  <dimension ref="B2:D17"/>
  <sheetViews>
    <sheetView workbookViewId="0">
      <selection activeCell="C3" sqref="C3"/>
    </sheetView>
  </sheetViews>
  <sheetFormatPr defaultRowHeight="14.5" x14ac:dyDescent="0.35"/>
  <cols>
    <col min="2" max="2" width="46.36328125" bestFit="1" customWidth="1"/>
    <col min="3" max="3" width="12.08984375" customWidth="1"/>
  </cols>
  <sheetData>
    <row r="2" spans="2:4" ht="15" thickBot="1" x14ac:dyDescent="0.4"/>
    <row r="3" spans="2:4" x14ac:dyDescent="0.35">
      <c r="B3" s="1" t="s">
        <v>222</v>
      </c>
      <c r="C3" s="20">
        <f>data!H28</f>
        <v>1171.4593</v>
      </c>
    </row>
    <row r="4" spans="2:4" x14ac:dyDescent="0.35">
      <c r="B4" s="2" t="s">
        <v>223</v>
      </c>
      <c r="C4" s="21">
        <f>data!H40</f>
        <v>2508.1882999999998</v>
      </c>
    </row>
    <row r="5" spans="2:4" x14ac:dyDescent="0.35">
      <c r="B5" s="2" t="s">
        <v>224</v>
      </c>
      <c r="C5" s="21">
        <f>data!H41</f>
        <v>12566.5453</v>
      </c>
    </row>
    <row r="6" spans="2:4" x14ac:dyDescent="0.35">
      <c r="B6" s="2" t="s">
        <v>225</v>
      </c>
      <c r="C6" s="21">
        <f>'Adams Input'!D19</f>
        <v>1.5</v>
      </c>
    </row>
    <row r="7" spans="2:4" x14ac:dyDescent="0.35">
      <c r="B7" s="2" t="s">
        <v>226</v>
      </c>
      <c r="C7" s="21">
        <f>2*'Adams Input'!D25</f>
        <v>2</v>
      </c>
      <c r="D7" t="s">
        <v>237</v>
      </c>
    </row>
    <row r="8" spans="2:4" x14ac:dyDescent="0.35">
      <c r="B8" s="2" t="s">
        <v>227</v>
      </c>
      <c r="C8" s="21">
        <f>ABS(cg!J4-cg!J3)</f>
        <v>5.4366750000000001</v>
      </c>
      <c r="D8" t="s">
        <v>238</v>
      </c>
    </row>
    <row r="9" spans="2:4" x14ac:dyDescent="0.35">
      <c r="B9" s="2" t="s">
        <v>228</v>
      </c>
      <c r="C9" s="21">
        <f>'Adams Input'!D24</f>
        <v>2.0127954918131974</v>
      </c>
    </row>
    <row r="10" spans="2:4" x14ac:dyDescent="0.35">
      <c r="B10" s="2" t="s">
        <v>229</v>
      </c>
      <c r="C10" s="22">
        <v>0.25</v>
      </c>
    </row>
    <row r="11" spans="2:4" x14ac:dyDescent="0.35">
      <c r="B11" s="2" t="s">
        <v>230</v>
      </c>
      <c r="C11" s="22">
        <v>0.4</v>
      </c>
    </row>
    <row r="12" spans="2:4" x14ac:dyDescent="0.35">
      <c r="B12" s="2" t="s">
        <v>231</v>
      </c>
      <c r="C12" s="21">
        <f>data!H46</f>
        <v>4.4101999999999997</v>
      </c>
    </row>
    <row r="13" spans="2:4" x14ac:dyDescent="0.35">
      <c r="B13" s="2" t="s">
        <v>232</v>
      </c>
      <c r="C13" s="21">
        <f>'Adams Input'!D21</f>
        <v>48.569225885447374</v>
      </c>
    </row>
    <row r="14" spans="2:4" x14ac:dyDescent="0.35">
      <c r="B14" s="2" t="s">
        <v>233</v>
      </c>
      <c r="C14" s="21">
        <f>data!C4</f>
        <v>3</v>
      </c>
    </row>
    <row r="15" spans="2:4" x14ac:dyDescent="0.35">
      <c r="B15" s="2" t="s">
        <v>234</v>
      </c>
      <c r="C15" s="21">
        <f>'Adams Input'!F15/data!H46</f>
        <v>8.3710942814384843</v>
      </c>
    </row>
    <row r="16" spans="2:4" x14ac:dyDescent="0.35">
      <c r="B16" s="2" t="s">
        <v>235</v>
      </c>
      <c r="C16" s="21">
        <f>data!C5</f>
        <v>0.05</v>
      </c>
    </row>
    <row r="17" spans="2:3" ht="15" thickBot="1" x14ac:dyDescent="0.4">
      <c r="B17" s="3" t="s">
        <v>236</v>
      </c>
      <c r="C17" s="2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601A-9081-40C9-B1FC-04B7BBD27025}">
  <dimension ref="B2:I37"/>
  <sheetViews>
    <sheetView workbookViewId="0">
      <selection activeCell="D29" sqref="D29"/>
    </sheetView>
  </sheetViews>
  <sheetFormatPr defaultRowHeight="14.5" x14ac:dyDescent="0.35"/>
  <cols>
    <col min="2" max="2" width="40" bestFit="1" customWidth="1"/>
    <col min="3" max="3" width="11" bestFit="1" customWidth="1"/>
    <col min="4" max="4" width="15.453125" style="24" bestFit="1" customWidth="1"/>
    <col min="7" max="7" width="11.08984375" bestFit="1" customWidth="1"/>
  </cols>
  <sheetData>
    <row r="2" spans="2:9" ht="15" thickBot="1" x14ac:dyDescent="0.4"/>
    <row r="3" spans="2:9" x14ac:dyDescent="0.35">
      <c r="B3" s="1" t="s">
        <v>107</v>
      </c>
      <c r="C3" s="1" t="s">
        <v>137</v>
      </c>
      <c r="D3" s="25">
        <f>data!H11</f>
        <v>249.45740000000001</v>
      </c>
      <c r="E3" s="1" t="s">
        <v>143</v>
      </c>
      <c r="G3" s="1">
        <v>962.72429999999997</v>
      </c>
      <c r="I3" s="18" t="s">
        <v>219</v>
      </c>
    </row>
    <row r="4" spans="2:9" x14ac:dyDescent="0.35">
      <c r="B4" s="2" t="s">
        <v>108</v>
      </c>
      <c r="C4" s="2" t="s">
        <v>138</v>
      </c>
      <c r="D4" s="26">
        <f>data!H40</f>
        <v>2508.1882999999998</v>
      </c>
      <c r="E4" s="2" t="s">
        <v>144</v>
      </c>
      <c r="G4" s="2">
        <v>5000</v>
      </c>
      <c r="I4" s="18" t="s">
        <v>220</v>
      </c>
    </row>
    <row r="5" spans="2:9" x14ac:dyDescent="0.35">
      <c r="B5" s="2" t="s">
        <v>109</v>
      </c>
      <c r="C5" s="2" t="s">
        <v>239</v>
      </c>
      <c r="D5" s="26">
        <f>data!H41</f>
        <v>12566.5453</v>
      </c>
      <c r="E5" s="2" t="s">
        <v>144</v>
      </c>
      <c r="G5" s="2">
        <v>12500</v>
      </c>
      <c r="I5" s="18" t="s">
        <v>221</v>
      </c>
    </row>
    <row r="6" spans="2:9" x14ac:dyDescent="0.35">
      <c r="B6" s="2" t="s">
        <v>110</v>
      </c>
      <c r="C6" s="2" t="s">
        <v>139</v>
      </c>
      <c r="D6" s="26">
        <f>data!H42</f>
        <v>12004.983</v>
      </c>
      <c r="E6" s="2" t="s">
        <v>144</v>
      </c>
      <c r="G6" s="2">
        <v>12500</v>
      </c>
    </row>
    <row r="7" spans="2:9" x14ac:dyDescent="0.35">
      <c r="B7" s="10" t="s">
        <v>111</v>
      </c>
      <c r="C7" s="2" t="s">
        <v>150</v>
      </c>
      <c r="D7" s="26">
        <v>10</v>
      </c>
      <c r="E7" s="2" t="s">
        <v>143</v>
      </c>
      <c r="G7" s="2">
        <v>10</v>
      </c>
    </row>
    <row r="8" spans="2:9" x14ac:dyDescent="0.35">
      <c r="B8" s="2" t="s">
        <v>112</v>
      </c>
      <c r="C8" s="2" t="s">
        <v>151</v>
      </c>
      <c r="D8" s="27"/>
      <c r="E8" s="2" t="s">
        <v>144</v>
      </c>
      <c r="G8" s="2"/>
    </row>
    <row r="9" spans="2:9" x14ac:dyDescent="0.35">
      <c r="B9" s="2" t="s">
        <v>113</v>
      </c>
      <c r="C9" s="2" t="s">
        <v>152</v>
      </c>
      <c r="D9" s="27"/>
      <c r="E9" s="2" t="s">
        <v>144</v>
      </c>
      <c r="G9" s="2"/>
    </row>
    <row r="10" spans="2:9" x14ac:dyDescent="0.35">
      <c r="B10" s="2" t="s">
        <v>114</v>
      </c>
      <c r="C10" s="2" t="s">
        <v>153</v>
      </c>
      <c r="D10" s="27"/>
      <c r="E10" s="2" t="s">
        <v>144</v>
      </c>
      <c r="G10" s="2"/>
    </row>
    <row r="11" spans="2:9" x14ac:dyDescent="0.35">
      <c r="B11" s="2" t="s">
        <v>115</v>
      </c>
      <c r="C11" s="2" t="s">
        <v>154</v>
      </c>
      <c r="D11" s="26">
        <f>data!H46</f>
        <v>4.4101999999999997</v>
      </c>
      <c r="E11" s="2" t="s">
        <v>145</v>
      </c>
      <c r="G11" s="2">
        <v>7.8916000000000004</v>
      </c>
    </row>
    <row r="12" spans="2:9" x14ac:dyDescent="0.35">
      <c r="B12" s="2" t="s">
        <v>116</v>
      </c>
      <c r="C12" s="2" t="s">
        <v>140</v>
      </c>
      <c r="D12" s="26">
        <f>0.06*D11</f>
        <v>0.26461199999999996</v>
      </c>
      <c r="E12" s="2" t="s">
        <v>145</v>
      </c>
      <c r="G12" s="2">
        <v>0.39458000000000004</v>
      </c>
    </row>
    <row r="13" spans="2:9" x14ac:dyDescent="0.35">
      <c r="B13" s="2" t="s">
        <v>117</v>
      </c>
      <c r="C13" s="2" t="s">
        <v>155</v>
      </c>
      <c r="D13" s="26">
        <f>data!H52</f>
        <v>0.47083000000000003</v>
      </c>
      <c r="E13" s="2" t="s">
        <v>145</v>
      </c>
      <c r="G13" s="2">
        <v>0.59501000000000004</v>
      </c>
    </row>
    <row r="14" spans="2:9" x14ac:dyDescent="0.35">
      <c r="B14" s="10" t="s">
        <v>118</v>
      </c>
      <c r="C14" s="2" t="s">
        <v>156</v>
      </c>
      <c r="D14" s="29">
        <v>1.0999999999999999E-2</v>
      </c>
      <c r="E14" s="2" t="s">
        <v>145</v>
      </c>
      <c r="G14" s="2">
        <v>1.0999999999999999E-2</v>
      </c>
    </row>
    <row r="15" spans="2:9" x14ac:dyDescent="0.35">
      <c r="B15" s="2" t="s">
        <v>119</v>
      </c>
      <c r="C15" s="2" t="s">
        <v>157</v>
      </c>
      <c r="D15" s="26">
        <f>data!H3</f>
        <v>110.7546</v>
      </c>
      <c r="E15" s="2" t="s">
        <v>143</v>
      </c>
      <c r="F15">
        <f>D15/3</f>
        <v>36.918199999999999</v>
      </c>
      <c r="G15" s="2">
        <v>483.36810000000003</v>
      </c>
    </row>
    <row r="16" spans="2:9" x14ac:dyDescent="0.35">
      <c r="B16" s="2" t="s">
        <v>120</v>
      </c>
      <c r="C16" s="2" t="s">
        <v>158</v>
      </c>
      <c r="D16" s="27">
        <v>200</v>
      </c>
      <c r="E16" s="2" t="s">
        <v>144</v>
      </c>
      <c r="G16" s="2">
        <v>200</v>
      </c>
    </row>
    <row r="17" spans="2:7" x14ac:dyDescent="0.35">
      <c r="B17" s="2" t="s">
        <v>121</v>
      </c>
      <c r="C17" s="2" t="s">
        <v>159</v>
      </c>
      <c r="D17" s="27">
        <v>200</v>
      </c>
      <c r="E17" s="2" t="s">
        <v>144</v>
      </c>
      <c r="G17" s="2">
        <v>200</v>
      </c>
    </row>
    <row r="18" spans="2:7" x14ac:dyDescent="0.35">
      <c r="B18" s="2" t="s">
        <v>122</v>
      </c>
      <c r="C18" s="2" t="s">
        <v>160</v>
      </c>
      <c r="D18" s="27">
        <v>2</v>
      </c>
      <c r="E18" s="2" t="s">
        <v>146</v>
      </c>
      <c r="G18" s="2">
        <v>2</v>
      </c>
    </row>
    <row r="19" spans="2:7" x14ac:dyDescent="0.35">
      <c r="B19" s="2" t="s">
        <v>123</v>
      </c>
      <c r="C19" s="2" t="s">
        <v>141</v>
      </c>
      <c r="D19" s="27">
        <v>1.5</v>
      </c>
      <c r="E19" s="2" t="s">
        <v>145</v>
      </c>
      <c r="G19" s="2">
        <v>1.5</v>
      </c>
    </row>
    <row r="20" spans="2:7" x14ac:dyDescent="0.35">
      <c r="B20" s="2" t="s">
        <v>124</v>
      </c>
      <c r="C20" s="2" t="s">
        <v>161</v>
      </c>
      <c r="D20" s="27"/>
      <c r="E20" s="2" t="s">
        <v>145</v>
      </c>
      <c r="G20" s="2"/>
    </row>
    <row r="21" spans="2:7" x14ac:dyDescent="0.35">
      <c r="B21" s="2" t="s">
        <v>125</v>
      </c>
      <c r="C21" s="2" t="s">
        <v>162</v>
      </c>
      <c r="D21">
        <f>data!C27*340/data!H46</f>
        <v>48.569225885447374</v>
      </c>
      <c r="E21" s="2" t="s">
        <v>147</v>
      </c>
      <c r="G21" s="2">
        <v>30.15864970348218</v>
      </c>
    </row>
    <row r="22" spans="2:7" x14ac:dyDescent="0.35">
      <c r="B22" s="2" t="s">
        <v>126</v>
      </c>
      <c r="C22" s="2" t="s">
        <v>163</v>
      </c>
      <c r="D22" s="27"/>
      <c r="E22" s="2" t="s">
        <v>145</v>
      </c>
      <c r="G22" s="2"/>
    </row>
    <row r="23" spans="2:7" x14ac:dyDescent="0.35">
      <c r="B23" s="2" t="s">
        <v>210</v>
      </c>
      <c r="C23" s="2" t="s">
        <v>164</v>
      </c>
      <c r="D23" s="26">
        <f>ABS(cg!D14-cg!J3)</f>
        <v>3.4238795081868028</v>
      </c>
      <c r="E23" s="2" t="s">
        <v>145</v>
      </c>
      <c r="G23" s="2">
        <v>5.9685823133288185</v>
      </c>
    </row>
    <row r="24" spans="2:7" x14ac:dyDescent="0.35">
      <c r="B24" s="2" t="s">
        <v>211</v>
      </c>
      <c r="C24" s="2" t="s">
        <v>165</v>
      </c>
      <c r="D24" s="26">
        <f>ABS(cg!D14-cg!J4)</f>
        <v>2.0127954918131974</v>
      </c>
      <c r="E24" s="2" t="s">
        <v>145</v>
      </c>
      <c r="G24" s="2">
        <v>3.760942686671183</v>
      </c>
    </row>
    <row r="25" spans="2:7" x14ac:dyDescent="0.35">
      <c r="B25" s="2" t="s">
        <v>212</v>
      </c>
      <c r="C25" s="2" t="s">
        <v>214</v>
      </c>
      <c r="D25" s="26">
        <f>0.5*data!C6</f>
        <v>1</v>
      </c>
      <c r="E25" s="2" t="s">
        <v>145</v>
      </c>
      <c r="G25" s="2">
        <v>1.375</v>
      </c>
    </row>
    <row r="26" spans="2:7" x14ac:dyDescent="0.35">
      <c r="B26" s="2" t="s">
        <v>127</v>
      </c>
      <c r="C26" s="2" t="s">
        <v>215</v>
      </c>
      <c r="D26" s="27">
        <v>70000</v>
      </c>
      <c r="E26" s="2" t="s">
        <v>148</v>
      </c>
      <c r="G26" s="2">
        <v>50000</v>
      </c>
    </row>
    <row r="27" spans="2:7" x14ac:dyDescent="0.35">
      <c r="B27" s="2"/>
      <c r="C27" s="2" t="s">
        <v>216</v>
      </c>
      <c r="D27" s="27">
        <v>85000</v>
      </c>
      <c r="E27" s="2"/>
      <c r="G27" s="2">
        <v>75000</v>
      </c>
    </row>
    <row r="28" spans="2:7" x14ac:dyDescent="0.35">
      <c r="B28" s="2" t="s">
        <v>128</v>
      </c>
      <c r="C28" s="2" t="s">
        <v>217</v>
      </c>
      <c r="D28" s="27">
        <v>2000</v>
      </c>
      <c r="E28" s="2" t="s">
        <v>149</v>
      </c>
      <c r="G28" s="2">
        <v>3000</v>
      </c>
    </row>
    <row r="29" spans="2:7" x14ac:dyDescent="0.35">
      <c r="B29" s="2"/>
      <c r="C29" s="2" t="s">
        <v>218</v>
      </c>
      <c r="D29" s="27">
        <v>2000</v>
      </c>
      <c r="E29" s="2"/>
      <c r="G29" s="2">
        <v>4500</v>
      </c>
    </row>
    <row r="30" spans="2:7" x14ac:dyDescent="0.35">
      <c r="B30" s="2" t="s">
        <v>129</v>
      </c>
      <c r="C30" s="2" t="s">
        <v>142</v>
      </c>
      <c r="D30" s="27">
        <v>1000000</v>
      </c>
      <c r="E30" s="2" t="s">
        <v>148</v>
      </c>
      <c r="G30" s="2">
        <v>1000000</v>
      </c>
    </row>
    <row r="31" spans="2:7" x14ac:dyDescent="0.35">
      <c r="B31" s="2" t="s">
        <v>130</v>
      </c>
      <c r="C31" s="2" t="s">
        <v>166</v>
      </c>
      <c r="D31" s="27">
        <v>2000</v>
      </c>
      <c r="E31" s="2" t="s">
        <v>149</v>
      </c>
      <c r="G31" s="19">
        <v>1500</v>
      </c>
    </row>
    <row r="32" spans="2:7" x14ac:dyDescent="0.35">
      <c r="B32" s="2" t="s">
        <v>131</v>
      </c>
      <c r="C32" s="2" t="s">
        <v>167</v>
      </c>
      <c r="D32" s="27">
        <v>70000</v>
      </c>
      <c r="E32" s="2" t="s">
        <v>148</v>
      </c>
      <c r="G32" s="2">
        <v>70000</v>
      </c>
    </row>
    <row r="33" spans="2:7" x14ac:dyDescent="0.35">
      <c r="B33" s="2" t="s">
        <v>132</v>
      </c>
      <c r="C33" s="2" t="s">
        <v>168</v>
      </c>
      <c r="D33" s="27">
        <v>700</v>
      </c>
      <c r="E33" s="2" t="s">
        <v>149</v>
      </c>
      <c r="G33" s="2">
        <v>700</v>
      </c>
    </row>
    <row r="34" spans="2:7" x14ac:dyDescent="0.35">
      <c r="B34" s="2" t="s">
        <v>133</v>
      </c>
      <c r="C34" s="2" t="s">
        <v>169</v>
      </c>
      <c r="D34" s="27">
        <v>56000</v>
      </c>
      <c r="E34" s="2" t="s">
        <v>148</v>
      </c>
      <c r="G34" s="2">
        <v>56000</v>
      </c>
    </row>
    <row r="35" spans="2:7" x14ac:dyDescent="0.35">
      <c r="B35" s="2" t="s">
        <v>134</v>
      </c>
      <c r="C35" s="2" t="s">
        <v>170</v>
      </c>
      <c r="D35" s="27">
        <v>700</v>
      </c>
      <c r="E35" s="2" t="s">
        <v>149</v>
      </c>
      <c r="G35" s="2">
        <v>560</v>
      </c>
    </row>
    <row r="36" spans="2:7" x14ac:dyDescent="0.35">
      <c r="B36" s="2" t="s">
        <v>135</v>
      </c>
      <c r="C36" s="2" t="s">
        <v>171</v>
      </c>
      <c r="D36" s="27">
        <v>35000</v>
      </c>
      <c r="E36" s="2" t="s">
        <v>148</v>
      </c>
      <c r="G36" s="2">
        <v>25500</v>
      </c>
    </row>
    <row r="37" spans="2:7" ht="15" thickBot="1" x14ac:dyDescent="0.4">
      <c r="B37" s="3" t="s">
        <v>136</v>
      </c>
      <c r="C37" s="3" t="s">
        <v>172</v>
      </c>
      <c r="D37" s="28">
        <v>500</v>
      </c>
      <c r="E37" s="3" t="s">
        <v>149</v>
      </c>
      <c r="G37" s="3">
        <v>255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3A87-C525-424B-A94B-9C6A53911073}">
  <dimension ref="B1:K16"/>
  <sheetViews>
    <sheetView workbookViewId="0">
      <selection activeCell="I9" sqref="I9"/>
    </sheetView>
  </sheetViews>
  <sheetFormatPr defaultRowHeight="14.5" x14ac:dyDescent="0.35"/>
  <cols>
    <col min="2" max="2" width="28.1796875" bestFit="1" customWidth="1"/>
    <col min="3" max="3" width="9" customWidth="1"/>
    <col min="4" max="4" width="8.54296875" customWidth="1"/>
    <col min="5" max="5" width="8" bestFit="1" customWidth="1"/>
    <col min="8" max="8" width="10.1796875" customWidth="1"/>
    <col min="9" max="9" width="9" bestFit="1" customWidth="1"/>
    <col min="10" max="10" width="9.36328125" customWidth="1"/>
  </cols>
  <sheetData>
    <row r="1" spans="2:11" ht="15" thickBot="1" x14ac:dyDescent="0.4">
      <c r="H1" t="s">
        <v>205</v>
      </c>
    </row>
    <row r="2" spans="2:11" ht="43.5" x14ac:dyDescent="0.35">
      <c r="B2" s="12" t="s">
        <v>173</v>
      </c>
      <c r="C2" s="11" t="s">
        <v>174</v>
      </c>
      <c r="D2" s="11" t="s">
        <v>175</v>
      </c>
      <c r="E2" s="11" t="s">
        <v>176</v>
      </c>
      <c r="H2" s="12" t="s">
        <v>173</v>
      </c>
      <c r="I2" s="11" t="s">
        <v>174</v>
      </c>
      <c r="J2" s="11" t="s">
        <v>175</v>
      </c>
      <c r="K2" s="11" t="s">
        <v>176</v>
      </c>
    </row>
    <row r="3" spans="2:11" x14ac:dyDescent="0.35">
      <c r="B3" s="2" t="s">
        <v>0</v>
      </c>
      <c r="C3" s="2">
        <f>data!H3</f>
        <v>110.7546</v>
      </c>
      <c r="D3" s="2">
        <f>0.52*data!$H$12</f>
        <v>3.769428</v>
      </c>
      <c r="E3" s="2">
        <f>C3*D3</f>
        <v>417.4814903688</v>
      </c>
      <c r="H3" s="2" t="s">
        <v>206</v>
      </c>
      <c r="I3" s="2">
        <f>0.2*data!$H$15</f>
        <v>12.371840000000001</v>
      </c>
      <c r="J3" s="2">
        <f>0.05*data!$H$12</f>
        <v>0.36244500000000002</v>
      </c>
      <c r="K3" s="2">
        <f>I3*J3</f>
        <v>4.4841115488000005</v>
      </c>
    </row>
    <row r="4" spans="2:11" x14ac:dyDescent="0.35">
      <c r="B4" s="2" t="s">
        <v>4</v>
      </c>
      <c r="C4" s="2">
        <f>data!H7</f>
        <v>51.082799999999999</v>
      </c>
      <c r="D4" s="2">
        <f>0.12*data!$H$12</f>
        <v>0.86986799999999997</v>
      </c>
      <c r="E4" s="2">
        <f t="shared" ref="E4:E12" si="0">C4*D4</f>
        <v>44.4352930704</v>
      </c>
      <c r="H4" s="2" t="s">
        <v>207</v>
      </c>
      <c r="I4" s="2">
        <f>0.4*data!$H$15</f>
        <v>24.743680000000001</v>
      </c>
      <c r="J4" s="2">
        <f>0.8*data!$H$12</f>
        <v>5.7991200000000003</v>
      </c>
      <c r="K4" s="2">
        <f t="shared" ref="K4:K5" si="1">I4*J4</f>
        <v>143.49156956160002</v>
      </c>
    </row>
    <row r="5" spans="2:11" ht="15" thickBot="1" x14ac:dyDescent="0.4">
      <c r="B5" s="2" t="s">
        <v>6</v>
      </c>
      <c r="C5" s="2">
        <f>data!H9</f>
        <v>4.4862000000000002</v>
      </c>
      <c r="D5" s="2">
        <f>1.4*data!$H$12</f>
        <v>10.14846</v>
      </c>
      <c r="E5" s="2">
        <f t="shared" si="0"/>
        <v>45.528021252000002</v>
      </c>
      <c r="H5" s="3" t="s">
        <v>208</v>
      </c>
      <c r="I5" s="3">
        <f>0.4*data!$H$15</f>
        <v>24.743680000000001</v>
      </c>
      <c r="J5" s="3">
        <f>0.8*data!$H$12</f>
        <v>5.7991200000000003</v>
      </c>
      <c r="K5" s="3">
        <f t="shared" si="1"/>
        <v>143.49156956160002</v>
      </c>
    </row>
    <row r="6" spans="2:11" x14ac:dyDescent="0.35">
      <c r="B6" s="2" t="s">
        <v>7</v>
      </c>
      <c r="C6" s="2">
        <f>data!H11</f>
        <v>249.45740000000001</v>
      </c>
      <c r="D6" s="2">
        <f>0.55*data!$H$12</f>
        <v>3.9868950000000001</v>
      </c>
      <c r="E6" s="2">
        <f t="shared" si="0"/>
        <v>994.56046077300005</v>
      </c>
      <c r="H6" t="s">
        <v>177</v>
      </c>
      <c r="I6">
        <f>SUM(I3:I5)</f>
        <v>61.859200000000001</v>
      </c>
      <c r="K6">
        <f>SUM(K3:K5)</f>
        <v>291.46725067200003</v>
      </c>
    </row>
    <row r="7" spans="2:11" x14ac:dyDescent="0.35">
      <c r="B7" s="2" t="s">
        <v>10</v>
      </c>
      <c r="C7" s="2">
        <f>data!H15</f>
        <v>61.859200000000001</v>
      </c>
      <c r="D7" s="2">
        <f>J7*data!$H$12</f>
        <v>4.7117850000000008</v>
      </c>
      <c r="E7" s="2">
        <f t="shared" si="0"/>
        <v>291.46725067200003</v>
      </c>
      <c r="H7" t="s">
        <v>209</v>
      </c>
      <c r="J7">
        <f>K6/I6/data!H12</f>
        <v>0.65000000000000013</v>
      </c>
      <c r="K7" t="s">
        <v>40</v>
      </c>
    </row>
    <row r="8" spans="2:11" x14ac:dyDescent="0.35">
      <c r="B8" s="2" t="s">
        <v>11</v>
      </c>
      <c r="C8" s="2">
        <f>data!H17</f>
        <v>111.7822</v>
      </c>
      <c r="D8" s="2">
        <f>0.52*data!$H$12</f>
        <v>3.769428</v>
      </c>
      <c r="E8" s="2">
        <f t="shared" si="0"/>
        <v>421.3549545816</v>
      </c>
    </row>
    <row r="9" spans="2:11" x14ac:dyDescent="0.35">
      <c r="B9" s="2" t="s">
        <v>13</v>
      </c>
      <c r="C9" s="2">
        <f>data!H20</f>
        <v>13.311299999999999</v>
      </c>
      <c r="D9" s="2">
        <f>0.54*data!$H$12</f>
        <v>3.9144060000000001</v>
      </c>
      <c r="E9" s="2">
        <f t="shared" si="0"/>
        <v>52.105832587799995</v>
      </c>
    </row>
    <row r="10" spans="2:11" x14ac:dyDescent="0.35">
      <c r="B10" s="2" t="s">
        <v>14</v>
      </c>
      <c r="C10" s="2">
        <f>data!H22</f>
        <v>76.126300000000001</v>
      </c>
      <c r="D10" s="2">
        <f>0.5*data!$H$12</f>
        <v>3.6244499999999999</v>
      </c>
      <c r="E10" s="2">
        <f t="shared" si="0"/>
        <v>275.91596803499999</v>
      </c>
    </row>
    <row r="11" spans="2:11" x14ac:dyDescent="0.35">
      <c r="B11" s="2" t="s">
        <v>15</v>
      </c>
      <c r="C11" s="2">
        <f>data!H24</f>
        <v>89.195700000000002</v>
      </c>
      <c r="D11" s="2">
        <f>0.1*data!$H$12</f>
        <v>0.72489000000000003</v>
      </c>
      <c r="E11" s="2">
        <f t="shared" si="0"/>
        <v>64.657070973000003</v>
      </c>
    </row>
    <row r="12" spans="2:11" ht="15" thickBot="1" x14ac:dyDescent="0.4">
      <c r="B12" s="3" t="s">
        <v>16</v>
      </c>
      <c r="C12" s="3">
        <f>data!H26</f>
        <v>233.40360000000001</v>
      </c>
      <c r="D12" s="3">
        <f>0.7*data!$H$12</f>
        <v>5.07423</v>
      </c>
      <c r="E12" s="3">
        <f t="shared" si="0"/>
        <v>1184.343549228</v>
      </c>
    </row>
    <row r="13" spans="2:11" ht="15" thickBot="1" x14ac:dyDescent="0.4">
      <c r="B13" s="15" t="s">
        <v>177</v>
      </c>
      <c r="C13" s="16">
        <f>SUM(C3:C12)</f>
        <v>1001.4593</v>
      </c>
      <c r="D13" s="16"/>
      <c r="E13" s="17">
        <f>SUM(E3:E12)</f>
        <v>3791.8498915415998</v>
      </c>
    </row>
    <row r="14" spans="2:11" ht="15" thickBot="1" x14ac:dyDescent="0.4">
      <c r="B14" s="3" t="s">
        <v>178</v>
      </c>
      <c r="C14" s="13"/>
      <c r="D14" s="13">
        <f>E13/C13</f>
        <v>3.7863245081868029</v>
      </c>
      <c r="E14" s="14"/>
    </row>
    <row r="15" spans="2:11" ht="15" thickBot="1" x14ac:dyDescent="0.4">
      <c r="B15" s="3" t="s">
        <v>178</v>
      </c>
      <c r="D15">
        <f>D14/data!H12</f>
        <v>0.52233090650813263</v>
      </c>
      <c r="E15" t="s">
        <v>40</v>
      </c>
    </row>
    <row r="16" spans="2:11" ht="15" thickBot="1" x14ac:dyDescent="0.4">
      <c r="B16" s="3" t="s">
        <v>213</v>
      </c>
      <c r="D16">
        <f>(D14-D3)</f>
        <v>1.6896508186802883E-2</v>
      </c>
    </row>
  </sheetData>
  <pageMargins left="0.7" right="0.7" top="0.75" bottom="0.75" header="0.3" footer="0.3"/>
  <pageSetup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7 n R 9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D u d H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n R 9 V S i K R 7 g O A A A A E Q A A A B M A H A B G b 3 J t d W x h c y 9 T Z W N 0 a W 9 u M S 5 t I K I Y A C i g F A A A A A A A A A A A A A A A A A A A A A A A A A A A A C t O T S 7 J z M 9 T C I b Q h t Y A U E s B A i 0 A F A A C A A g A 7 n R 9 V R 7 t 5 J O j A A A A 9 g A A A B I A A A A A A A A A A A A A A A A A A A A A A E N v b m Z p Z y 9 Q Y W N r Y W d l L n h t b F B L A Q I t A B Q A A g A I A O 5 0 f V U P y u m r p A A A A O k A A A A T A A A A A A A A A A A A A A A A A O 8 A A A B b Q 2 9 u d G V u d F 9 U e X B l c 1 0 u e G 1 s U E s B A i 0 A F A A C A A g A 7 n R 9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h S 1 u 5 G h t x E g 0 I 6 T E B 9 0 B Q A A A A A A g A A A A A A E G Y A A A A B A A A g A A A A o J / P j V Y G V S E B Y U 7 V T T d i H a V x f P g R a + 0 j e Y D Q B Q I i J n E A A A A A D o A A A A A C A A A g A A A A 8 f T 8 j Y J p 5 E 4 3 n 5 f i T x 3 x o 6 k E C x h J 1 E Z X I D z / a 2 K B e y R Q A A A A X / P w W a e 1 L S Y t 6 / n k P M F W q w w / i j H O g l / J n 5 e L f Y I 5 p N 2 q v 4 9 P l M 1 K H u J d F / r P J X K z 0 6 m O S 7 c R D E k k w P 0 d w D 0 N p e 5 H F n l X x 4 X m W z e D J e 9 l 9 e 5 A A A A A 8 8 k i N C 4 C 0 s K 8 W P v c m l D m L Y x 6 s Y T A Q 9 z w R B 3 S u w p 9 w J s 4 8 O q C e r e o E u r N g J y f B x + j r z 6 F l + h o 9 n Q S e v g T Q O + x 3 A = = < / D a t a M a s h u p > 
</file>

<file path=customXml/itemProps1.xml><?xml version="1.0" encoding="utf-8"?>
<ds:datastoreItem xmlns:ds="http://schemas.openxmlformats.org/officeDocument/2006/customXml" ds:itemID="{110EC09E-9BC0-4790-BF10-0C44AA912F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Input Ground Resonance</vt:lpstr>
      <vt:lpstr>Adams Input</vt:lpstr>
      <vt:lpstr>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Jihad Ummul Quro</dc:creator>
  <cp:lastModifiedBy>Soufiane EL OMARI</cp:lastModifiedBy>
  <dcterms:created xsi:type="dcterms:W3CDTF">2022-11-29T09:26:56Z</dcterms:created>
  <dcterms:modified xsi:type="dcterms:W3CDTF">2022-12-19T11:47:09Z</dcterms:modified>
</cp:coreProperties>
</file>